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ieza aquí" sheetId="1" state="visible" r:id="rId1"/>
    <sheet xmlns:r="http://schemas.openxmlformats.org/officeDocument/2006/relationships" name="Recorrido" sheetId="2" state="visible" r:id="rId2"/>
    <sheet xmlns:r="http://schemas.openxmlformats.org/officeDocument/2006/relationships" name="Presupuesto" sheetId="3" state="visible" r:id="rId3"/>
    <sheet xmlns:r="http://schemas.openxmlformats.org/officeDocument/2006/relationships" name="Alcance de obra" sheetId="4" state="visible" r:id="rId4"/>
  </sheets>
  <definedNames>
    <definedName name="_xlnm.Print_Area" localSheetId="0">'Empieza aquí'!$A$1:$E$48</definedName>
    <definedName name="_xlnm.Print_Titles" localSheetId="1">'Recorrido'!$12:$12</definedName>
    <definedName name="_xlnm.Print_Area" localSheetId="1">'Recorrido'!$A$1:$L$47</definedName>
    <definedName name="_xlnm.Print_Area" localSheetId="2">'Presupuesto'!$A$1:$H$29</definedName>
    <definedName name="_xlnm.Print_Titles" localSheetId="3">'Alcance de obra'!$12:$12</definedName>
    <definedName name="_xlnm.Print_Area" localSheetId="3">'Alcance de obra'!$A$4:$F$44</definedName>
  </definedNames>
  <calcPr calcId="124519" fullCalcOnLoad="1"/>
</workbook>
</file>

<file path=xl/styles.xml><?xml version="1.0" encoding="utf-8"?>
<styleSheet xmlns="http://schemas.openxmlformats.org/spreadsheetml/2006/main">
  <numFmts count="6">
    <numFmt numFmtId="164" formatCode="yyyy-mm-dd"/>
    <numFmt numFmtId="165" formatCode="d mmm yyyy"/>
    <numFmt numFmtId="166" formatCode="&quot;$&quot;#,##0;[Red]-&quot;$&quot;#,##0"/>
    <numFmt numFmtId="167" formatCode="#,##0.##"/>
    <numFmt numFmtId="168" formatCode="&quot;$&quot;#,##0.00;-&quot;$&quot;#,##0.00"/>
    <numFmt numFmtId="169" formatCode="0.0%"/>
  </numFmts>
  <fonts count="18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color rgb="00C9C4B6"/>
      <sz val="9"/>
    </font>
    <font>
      <name val="Arial"/>
      <color rgb="0045484D"/>
      <sz val="10"/>
    </font>
    <font>
      <name val="Arial"/>
      <color rgb="0045484D"/>
      <sz val="9"/>
    </font>
    <font>
      <name val="Arial"/>
      <b val="1"/>
      <color rgb="00121417"/>
      <sz val="12"/>
    </font>
    <font>
      <name val="Arial"/>
      <color rgb="00121417"/>
      <sz val="10"/>
    </font>
    <font>
      <name val="Arial"/>
      <b val="1"/>
      <color rgb="008A3B00"/>
      <sz val="8"/>
    </font>
    <font>
      <name val="Arial"/>
      <b val="1"/>
      <color rgb="00121417"/>
      <sz val="10"/>
    </font>
    <font>
      <name val="Arial"/>
      <b val="1"/>
      <color rgb="00121417"/>
      <sz val="14"/>
    </font>
    <font>
      <name val="Arial"/>
      <b val="1"/>
      <color rgb="00FFFFFF"/>
      <sz val="10"/>
    </font>
    <font>
      <name val="Arial"/>
      <b val="1"/>
      <color rgb="00E8590C"/>
      <sz val="18"/>
    </font>
    <font>
      <name val="Arial"/>
      <b val="1"/>
      <color rgb="00FFFFFF"/>
      <sz val="20"/>
    </font>
    <font>
      <name val="Arial"/>
      <color rgb="00C9C4B6"/>
      <sz val="10"/>
    </font>
    <font>
      <name val="Arial"/>
      <sz val="10"/>
    </font>
    <font>
      <name val="Arial"/>
      <color rgb="00121417"/>
      <sz val="11"/>
    </font>
    <font>
      <name val="Arial"/>
      <b val="1"/>
      <color rgb="00E8590C"/>
      <sz val="14"/>
    </font>
    <font>
      <name val="Arial"/>
      <b val="1"/>
      <color rgb="00E8590C"/>
      <sz val="10"/>
      <u val="single"/>
    </font>
  </fonts>
  <fills count="8">
    <fill>
      <patternFill/>
    </fill>
    <fill>
      <patternFill patternType="gray125"/>
    </fill>
    <fill>
      <patternFill patternType="solid">
        <fgColor rgb="00121417"/>
      </patternFill>
    </fill>
    <fill>
      <patternFill patternType="solid">
        <fgColor rgb="00FFF5CC"/>
      </patternFill>
    </fill>
    <fill>
      <patternFill patternType="solid">
        <fgColor rgb="00E8590C"/>
      </patternFill>
    </fill>
    <fill>
      <patternFill patternType="solid">
        <fgColor rgb="00F4F1EA"/>
      </patternFill>
    </fill>
    <fill>
      <patternFill patternType="solid">
        <fgColor rgb="00E9E3D6"/>
      </patternFill>
    </fill>
    <fill>
      <patternFill patternType="solid">
        <fgColor rgb="00FFD966"/>
      </patternFill>
    </fill>
  </fills>
  <borders count="9">
    <border>
      <left/>
      <right/>
      <top/>
      <bottom/>
      <diagonal/>
    </border>
    <border>
      <bottom style="medium">
        <color rgb="00E8590C"/>
      </bottom>
    </border>
    <border>
      <left style="thin">
        <color rgb="00D8D2C6"/>
      </left>
      <right style="thin">
        <color rgb="00D8D2C6"/>
      </right>
      <top style="thin">
        <color rgb="00D8D2C6"/>
      </top>
      <bottom style="thin">
        <color rgb="00D8D2C6"/>
      </bottom>
    </border>
    <border>
      <left/>
      <right/>
      <top style="thin">
        <color rgb="00D8D2C6"/>
      </top>
      <bottom/>
      <diagonal/>
    </border>
    <border>
      <left/>
      <right style="thin">
        <color rgb="00D8D2C6"/>
      </right>
      <top style="thin">
        <color rgb="00D8D2C6"/>
      </top>
      <bottom/>
      <diagonal/>
    </border>
    <border>
      <left/>
      <right/>
      <top style="thin">
        <color rgb="00D8D2C6"/>
      </top>
      <bottom style="thin">
        <color rgb="00D8D2C6"/>
      </bottom>
      <diagonal/>
    </border>
    <border>
      <left/>
      <right style="thin">
        <color rgb="00D8D2C6"/>
      </right>
      <top style="thin">
        <color rgb="00D8D2C6"/>
      </top>
      <bottom style="thin">
        <color rgb="00D8D2C6"/>
      </bottom>
      <diagonal/>
    </border>
    <border>
      <bottom style="thin">
        <color rgb="00D8D2C6"/>
      </bottom>
    </border>
    <border>
      <left style="thick">
        <color rgb="00FFFFFF"/>
      </left>
      <right style="thick">
        <color rgb="00FFFFFF"/>
      </right>
      <top style="thick">
        <color rgb="00FFFFFF"/>
      </top>
      <bottom style="thick">
        <color rgb="00FFFFFF"/>
      </bottom>
    </border>
  </borders>
  <cellStyleXfs count="1">
    <xf numFmtId="0" fontId="0" fillId="0" borderId="0"/>
  </cellStyleXfs>
  <cellXfs count="61">
    <xf numFmtId="0" fontId="0" fillId="0" borderId="0" pivotButton="0" quotePrefix="0" xfId="0"/>
    <xf numFmtId="0" fontId="12" fillId="2" borderId="0" applyAlignment="1" pivotButton="0" quotePrefix="0" xfId="0">
      <alignment vertical="center"/>
    </xf>
    <xf numFmtId="0" fontId="12" fillId="2" borderId="0" applyAlignment="1" pivotButton="0" quotePrefix="0" xfId="0">
      <alignment vertical="bottom"/>
    </xf>
    <xf numFmtId="0" fontId="13" fillId="2" borderId="0" applyAlignment="1" pivotButton="0" quotePrefix="0" xfId="0">
      <alignment horizontal="left" vertical="center" wrapText="1" indent="1"/>
    </xf>
    <xf numFmtId="0" fontId="14" fillId="4" borderId="0" applyAlignment="1" pivotButton="0" quotePrefix="0" xfId="0">
      <alignment vertical="center"/>
    </xf>
    <xf numFmtId="0" fontId="15" fillId="0" borderId="0" applyAlignment="1" pivotButton="0" quotePrefix="0" xfId="0">
      <alignment horizontal="left" vertical="center" wrapText="1" indent="1"/>
    </xf>
    <xf numFmtId="0" fontId="5" fillId="0" borderId="1" applyAlignment="1" pivotButton="0" quotePrefix="0" xfId="0">
      <alignment horizontal="left" vertical="center" indent="1"/>
    </xf>
    <xf numFmtId="0" fontId="0" fillId="0" borderId="1" pivotButton="0" quotePrefix="0" xfId="0"/>
    <xf numFmtId="0" fontId="16" fillId="0" borderId="0" applyAlignment="1" pivotButton="0" quotePrefix="0" xfId="0">
      <alignment horizontal="center" vertical="top"/>
    </xf>
    <xf numFmtId="0" fontId="8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14" fillId="4" borderId="8" applyAlignment="1" pivotButton="0" quotePrefix="0" xfId="0">
      <alignment vertical="center"/>
    </xf>
    <xf numFmtId="0" fontId="17" fillId="0" borderId="0" applyAlignment="1" pivotButton="0" quotePrefix="0" xfId="0">
      <alignment horizontal="left" vertical="top" wrapText="1" indent="1"/>
    </xf>
    <xf numFmtId="0" fontId="14" fillId="2" borderId="8" applyAlignment="1" pivotButton="0" quotePrefix="0" xfId="0">
      <alignment horizontal="left" vertical="center" wrapText="1" indent="1"/>
    </xf>
    <xf numFmtId="0" fontId="4" fillId="0" borderId="0" applyAlignment="1" pivotButton="0" quotePrefix="0" xfId="0">
      <alignment horizontal="left" vertical="top" wrapText="1" indent="1"/>
    </xf>
    <xf numFmtId="0" fontId="3" fillId="0" borderId="0" applyAlignment="1" pivotButton="0" quotePrefix="0" xfId="0">
      <alignment horizontal="left" vertical="top" wrapText="1" indent="1"/>
    </xf>
    <xf numFmtId="0" fontId="14" fillId="3" borderId="2" applyAlignment="1" pivotButton="0" quotePrefix="0" xfId="0">
      <alignment vertical="center"/>
    </xf>
    <xf numFmtId="0" fontId="14" fillId="5" borderId="2" applyAlignment="1" pivotButton="0" quotePrefix="0" xfId="0">
      <alignment vertical="center"/>
    </xf>
    <xf numFmtId="0" fontId="14" fillId="6" borderId="2" applyAlignment="1" pivotButton="0" quotePrefix="0" xfId="0">
      <alignment vertical="center"/>
    </xf>
    <xf numFmtId="0" fontId="14" fillId="4" borderId="2" applyAlignment="1" pivotButton="0" quotePrefix="0" xfId="0">
      <alignment vertical="center"/>
    </xf>
    <xf numFmtId="0" fontId="14" fillId="7" borderId="2" applyAlignment="1" pivotButton="0" quotePrefix="0" xfId="0">
      <alignment vertical="center"/>
    </xf>
    <xf numFmtId="0" fontId="7" fillId="0" borderId="0" applyAlignment="1" pivotButton="0" quotePrefix="0" xfId="0">
      <alignment horizontal="left" vertical="top" wrapText="1" indent="1"/>
    </xf>
    <xf numFmtId="0" fontId="4" fillId="0" borderId="0" applyAlignment="1" pivotButton="0" quotePrefix="0" xfId="0">
      <alignment horizontal="left" vertical="center" wrapText="1" indent="1"/>
    </xf>
    <xf numFmtId="0" fontId="1" fillId="2" borderId="0" applyAlignment="1" pivotButton="0" quotePrefix="0" xfId="0">
      <alignment horizontal="left" vertical="center" indent="1"/>
    </xf>
    <xf numFmtId="0" fontId="2" fillId="2" borderId="0" applyAlignment="1" pivotButton="0" quotePrefix="0" xfId="0">
      <alignment horizontal="right" vertical="center" indent="1"/>
    </xf>
    <xf numFmtId="0" fontId="6" fillId="0" borderId="0" applyAlignment="1" pivotButton="0" quotePrefix="0" xfId="0">
      <alignment horizontal="left" vertical="center" indent="1"/>
    </xf>
    <xf numFmtId="49" fontId="6" fillId="3" borderId="2" applyAlignment="1" applyProtection="1" pivotButton="0" quotePrefix="0" xfId="0">
      <alignment horizontal="left" vertical="center" indent="1"/>
      <protection locked="0" hidden="0"/>
    </xf>
    <xf numFmtId="0" fontId="7" fillId="0" borderId="0" applyAlignment="1" pivotButton="0" quotePrefix="0" xfId="0">
      <alignment horizontal="left" vertical="center" indent="1"/>
    </xf>
    <xf numFmtId="0" fontId="8" fillId="0" borderId="0" applyAlignment="1" pivotButton="0" quotePrefix="0" xfId="0">
      <alignment horizontal="left" vertical="center" indent="1"/>
    </xf>
    <xf numFmtId="165" fontId="6" fillId="3" borderId="2" applyAlignment="1" applyProtection="1" pivotButton="0" quotePrefix="0" xfId="0">
      <alignment horizontal="right" vertical="center" indent="1"/>
      <protection locked="0" hidden="0"/>
    </xf>
    <xf numFmtId="166" fontId="9" fillId="4" borderId="2" applyAlignment="1" pivotButton="0" quotePrefix="0" xfId="0">
      <alignment horizontal="right" vertical="center" indent="1"/>
    </xf>
    <xf numFmtId="0" fontId="0" fillId="0" borderId="5" pivotButton="0" quotePrefix="0" xfId="0"/>
    <xf numFmtId="0" fontId="0" fillId="0" borderId="6" pivotButton="0" quotePrefix="0" xfId="0"/>
    <xf numFmtId="3" fontId="6" fillId="3" borderId="2" applyAlignment="1" applyProtection="1" pivotButton="0" quotePrefix="0" xfId="0">
      <alignment horizontal="right" vertical="center" indent="1"/>
      <protection locked="0" hidden="0"/>
    </xf>
    <xf numFmtId="3" fontId="6" fillId="5" borderId="2" applyAlignment="1" pivotButton="0" quotePrefix="0" xfId="0">
      <alignment horizontal="right" vertical="center" indent="1"/>
    </xf>
    <xf numFmtId="0" fontId="6" fillId="5" borderId="2" applyAlignment="1" pivotButton="0" quotePrefix="0" xfId="0">
      <alignment horizontal="center" vertical="center"/>
    </xf>
    <xf numFmtId="0" fontId="10" fillId="2" borderId="2" applyAlignment="1" pivotButton="0" quotePrefix="0" xfId="0">
      <alignment horizontal="left" vertical="center" wrapText="1" indent="1"/>
    </xf>
    <xf numFmtId="0" fontId="10" fillId="2" borderId="2" applyAlignment="1" pivotButton="0" quotePrefix="0" xfId="0">
      <alignment horizontal="center" vertical="center" wrapText="1"/>
    </xf>
    <xf numFmtId="0" fontId="10" fillId="2" borderId="2" applyAlignment="1" pivotButton="0" quotePrefix="0" xfId="0">
      <alignment horizontal="right" vertical="center" wrapText="1" indent="1"/>
    </xf>
    <xf numFmtId="0" fontId="6" fillId="3" borderId="2" applyAlignment="1" applyProtection="1" pivotButton="0" quotePrefix="0" xfId="0">
      <alignment horizontal="left" vertical="center" indent="1"/>
      <protection locked="0" hidden="0"/>
    </xf>
    <xf numFmtId="0" fontId="6" fillId="3" borderId="2" applyAlignment="1" applyProtection="1" pivotButton="0" quotePrefix="0" xfId="0">
      <alignment horizontal="center" vertical="center"/>
      <protection locked="0" hidden="0"/>
    </xf>
    <xf numFmtId="167" fontId="6" fillId="3" borderId="2" applyAlignment="1" applyProtection="1" pivotButton="0" quotePrefix="0" xfId="0">
      <alignment horizontal="right" vertical="center" indent="1"/>
      <protection locked="0" hidden="0"/>
    </xf>
    <xf numFmtId="168" fontId="6" fillId="3" borderId="2" applyAlignment="1" applyProtection="1" pivotButton="0" quotePrefix="0" xfId="0">
      <alignment horizontal="right" vertical="center" indent="1"/>
      <protection locked="0" hidden="0"/>
    </xf>
    <xf numFmtId="166" fontId="6" fillId="5" borderId="2" applyAlignment="1" pivotButton="0" quotePrefix="0" xfId="0">
      <alignment horizontal="right" vertical="center" indent="1"/>
    </xf>
    <xf numFmtId="3" fontId="6" fillId="5" borderId="2" applyAlignment="1" pivotButton="0" quotePrefix="0" xfId="0">
      <alignment horizontal="center" vertical="center"/>
    </xf>
    <xf numFmtId="0" fontId="7" fillId="0" borderId="0" applyAlignment="1" pivotButton="0" quotePrefix="0" xfId="0">
      <alignment horizontal="center" vertical="center"/>
    </xf>
    <xf numFmtId="0" fontId="6" fillId="5" borderId="2" applyAlignment="1" pivotButton="0" quotePrefix="0" xfId="0">
      <alignment horizontal="left" vertical="center" indent="1"/>
    </xf>
    <xf numFmtId="166" fontId="8" fillId="6" borderId="2" applyAlignment="1" pivotButton="0" quotePrefix="0" xfId="0">
      <alignment horizontal="right" vertical="center" indent="1"/>
    </xf>
    <xf numFmtId="168" fontId="6" fillId="5" borderId="2" applyAlignment="1" pivotButton="0" quotePrefix="0" xfId="0">
      <alignment horizontal="right" vertical="center" indent="1"/>
    </xf>
    <xf numFmtId="169" fontId="6" fillId="3" borderId="2" applyAlignment="1" applyProtection="1" pivotButton="0" quotePrefix="0" xfId="0">
      <alignment horizontal="right" vertical="center" indent="1"/>
      <protection locked="0" hidden="0"/>
    </xf>
    <xf numFmtId="169" fontId="6" fillId="5" borderId="2" applyAlignment="1" pivotButton="0" quotePrefix="0" xfId="0">
      <alignment horizontal="right" vertical="center" indent="1"/>
    </xf>
    <xf numFmtId="3" fontId="8" fillId="6" borderId="2" applyAlignment="1" pivotButton="0" quotePrefix="0" xfId="0">
      <alignment horizontal="right" vertical="center" indent="1"/>
    </xf>
    <xf numFmtId="169" fontId="8" fillId="6" borderId="2" applyAlignment="1" pivotButton="0" quotePrefix="0" xfId="0">
      <alignment horizontal="right" vertical="center" indent="1"/>
    </xf>
    <xf numFmtId="0" fontId="11" fillId="0" borderId="0" applyAlignment="1" pivotButton="0" quotePrefix="0" xfId="0">
      <alignment horizontal="left" vertical="center" indent="1"/>
    </xf>
    <xf numFmtId="0" fontId="6" fillId="0" borderId="0" applyAlignment="1" pivotButton="0" quotePrefix="0" xfId="0">
      <alignment horizontal="right" vertical="center" indent="1"/>
    </xf>
    <xf numFmtId="165" fontId="6" fillId="0" borderId="0" applyAlignment="1" pivotButton="0" quotePrefix="0" xfId="0">
      <alignment horizontal="right" vertical="center" indent="1"/>
    </xf>
    <xf numFmtId="0" fontId="6" fillId="0" borderId="0" applyAlignment="1" pivotButton="0" quotePrefix="0" xfId="0">
      <alignment horizontal="center" vertical="center"/>
    </xf>
    <xf numFmtId="0" fontId="6" fillId="0" borderId="0" applyAlignment="1" pivotButton="0" quotePrefix="0" xfId="0">
      <alignment horizontal="left" vertical="center" wrapText="1" indent="1"/>
    </xf>
    <xf numFmtId="3" fontId="6" fillId="0" borderId="7" applyAlignment="1" pivotButton="0" quotePrefix="0" xfId="0">
      <alignment horizontal="center" vertical="center"/>
    </xf>
    <xf numFmtId="0" fontId="6" fillId="0" borderId="7" applyAlignment="1" pivotButton="0" quotePrefix="0" xfId="0">
      <alignment horizontal="left" vertical="center" wrapText="1" indent="1"/>
    </xf>
    <xf numFmtId="167" fontId="6" fillId="0" borderId="7" applyAlignment="1" pivotButton="0" quotePrefix="0" xfId="0">
      <alignment horizontal="right" vertical="center" indent="1"/>
    </xf>
  </cellXfs>
  <cellStyles count="1">
    <cellStyle name="Normal" xfId="0" builtinId="0" hidden="0"/>
  </cellStyles>
  <dxfs count="3">
    <dxf>
      <font>
        <b val="1"/>
        <color rgb="000F5A33"/>
      </font>
      <fill>
        <patternFill patternType="solid">
          <fgColor rgb="00D8EEDF"/>
          <bgColor rgb="00D8EEDF"/>
        </patternFill>
      </fill>
    </dxf>
    <dxf>
      <font>
        <b val="1"/>
        <color rgb="008A3B00"/>
      </font>
      <fill>
        <patternFill patternType="solid">
          <fgColor rgb="00FFE2C6"/>
          <bgColor rgb="00FFE2C6"/>
        </patternFill>
      </fill>
    </dxf>
    <dxf>
      <font>
        <b val="1"/>
        <color rgb="009B1C0C"/>
      </font>
      <fill>
        <patternFill patternType="solid">
          <fgColor rgb="00F9D3CB"/>
          <bgColor rgb="00F9D3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E48"/>
  <sheetViews>
    <sheetView showGridLines="0" zoomScale="100"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24" customWidth="1" min="3" max="3"/>
    <col width="74" customWidth="1" min="4" max="4"/>
    <col width="2" customWidth="1" min="5" max="5"/>
  </cols>
  <sheetData>
    <row r="1" ht="38" customHeight="1">
      <c r="A1" s="1" t="n"/>
      <c r="B1" s="2" t="inlineStr">
        <is>
          <t>Estimador de Remodelación (versión gratis)</t>
        </is>
      </c>
      <c r="C1" s="1" t="n"/>
      <c r="D1" s="1" t="n"/>
      <c r="E1" s="1" t="n"/>
    </row>
    <row r="2" ht="22" customHeight="1">
      <c r="A2" s="3" t="n"/>
      <c r="B2" s="3" t="inlineStr">
        <is>
          <t>Built by Estrada · builtbyestrada.ai · hecho por un contratista residencial que construye casas para inversionistas</t>
        </is>
      </c>
      <c r="C2" s="3" t="n"/>
      <c r="D2" s="3" t="n"/>
      <c r="E2" s="3" t="n"/>
    </row>
    <row r="3" ht="4" customHeight="1">
      <c r="A3" s="4" t="n"/>
      <c r="B3" s="4" t="n"/>
      <c r="C3" s="4" t="n"/>
      <c r="D3" s="4" t="n"/>
      <c r="E3" s="4" t="n"/>
    </row>
    <row r="4" ht="10" customHeight="1"/>
    <row r="5" ht="33" customHeight="1">
      <c r="B5" s="5" t="inlineStr">
        <is>
          <t>Recorre una casa, marca lo que necesita trabajo y escribe tus precios. Obtienes un presupuesto de obra, bajo, probable y alto, y un alcance corto en inglés y español para la cuadrilla. Cada número con el que abre es un EJEMPLO.</t>
        </is>
      </c>
    </row>
    <row r="6" ht="10" customHeight="1"/>
    <row r="7" ht="24" customHeight="1">
      <c r="B7" s="6" t="inlineStr">
        <is>
          <t>Tu primer resultado en 5 minutos</t>
        </is>
      </c>
      <c r="C7" s="7" t="n"/>
      <c r="D7" s="7" t="n"/>
    </row>
    <row r="8" ht="6" customHeight="1"/>
    <row r="9" ht="31" customHeight="1">
      <c r="B9" s="8" t="n">
        <v>1</v>
      </c>
      <c r="C9" s="9" t="inlineStr">
        <is>
          <t>Recorrido</t>
        </is>
      </c>
      <c r="D9" s="10" t="inlineStr">
        <is>
          <t>Marca cada partida OK, Reparar o Cambiar, escribe la cantidad y tus dos precios unitarios.</t>
        </is>
      </c>
    </row>
    <row r="10" ht="30" customHeight="1">
      <c r="B10" s="8" t="n">
        <v>2</v>
      </c>
      <c r="C10" s="9" t="inlineStr">
        <is>
          <t>Presupuesto</t>
        </is>
      </c>
      <c r="D10" s="10" t="inlineStr">
        <is>
          <t>Pon la contingencia y lee el presupuesto bajo, probable y alto.</t>
        </is>
      </c>
    </row>
    <row r="11" ht="30" customHeight="1">
      <c r="B11" s="8" t="n">
        <v>3</v>
      </c>
      <c r="C11" s="9" t="inlineStr">
        <is>
          <t>Alcance de obra</t>
        </is>
      </c>
      <c r="D11" s="10" t="inlineStr">
        <is>
          <t>Imprime la copia de la cuadrilla en inglés y español.</t>
        </is>
      </c>
    </row>
    <row r="12" ht="10" customHeight="1"/>
    <row r="13" ht="24" customHeight="1">
      <c r="B13" s="6" t="inlineStr">
        <is>
          <t>Qué hace cada pestaña</t>
        </is>
      </c>
      <c r="C13" s="7" t="n"/>
      <c r="D13" s="7" t="n"/>
    </row>
    <row r="14" ht="6" customHeight="1"/>
    <row r="15" ht="26" customHeight="1">
      <c r="B15" s="11" t="n"/>
      <c r="C15" s="9" t="inlineStr">
        <is>
          <t>Empieza aquí</t>
        </is>
      </c>
      <c r="D15" s="10" t="inlineStr">
        <is>
          <t>Esta página.</t>
        </is>
      </c>
    </row>
    <row r="16" ht="26" customHeight="1">
      <c r="B16" s="11" t="n"/>
      <c r="C16" s="12" t="inlineStr">
        <is>
          <t>Recorrido</t>
        </is>
      </c>
      <c r="D16" s="10" t="inlineStr">
        <is>
          <t>Cuarto por cuarto: OK, Reparar o Cambiar, una cantidad y tus precios.</t>
        </is>
      </c>
    </row>
    <row r="17" ht="26" customHeight="1">
      <c r="B17" s="13" t="n"/>
      <c r="C17" s="12" t="inlineStr">
        <is>
          <t>Presupuesto</t>
        </is>
      </c>
      <c r="D17" s="10" t="inlineStr">
        <is>
          <t>Bajo, probable y alto, por área, con la contingencia y el costo por pie².</t>
        </is>
      </c>
    </row>
    <row r="18" ht="31" customHeight="1">
      <c r="B18" s="13" t="n"/>
      <c r="C18" s="12" t="inlineStr">
        <is>
          <t>Alcance de obra</t>
        </is>
      </c>
      <c r="D18" s="10" t="inlineStr">
        <is>
          <t>El trabajo que hay que hacer, en inglés y español, listo para imprimir para la cuadrilla.</t>
        </is>
      </c>
    </row>
    <row r="19" ht="31" customHeight="1">
      <c r="C19" s="14" t="inlineStr"/>
      <c r="D19" s="15" t="inlineStr">
        <is>
          <t>Colores de las pestañas: en las de color naranja escribes tú, las oscuras se llenan solas o se imprimen.</t>
        </is>
      </c>
    </row>
    <row r="20" ht="10" customHeight="1"/>
    <row r="21" ht="24" customHeight="1">
      <c r="B21" s="6" t="inlineStr">
        <is>
          <t>Colores</t>
        </is>
      </c>
      <c r="C21" s="7" t="n"/>
      <c r="D21" s="7" t="n"/>
    </row>
    <row r="22" ht="6" customHeight="1"/>
    <row r="23" ht="18" customHeight="1">
      <c r="B23" s="16" t="n"/>
      <c r="C23" s="9" t="inlineStr">
        <is>
          <t>Amarillo</t>
        </is>
      </c>
      <c r="D23" s="10" t="inlineStr">
        <is>
          <t>Aquí escribes tú. Solo las celdas amarillas reciben datos.</t>
        </is>
      </c>
    </row>
    <row r="24" ht="18" customHeight="1">
      <c r="B24" s="17" t="n"/>
      <c r="C24" s="9" t="inlineStr">
        <is>
          <t>Gris</t>
        </is>
      </c>
      <c r="D24" s="10" t="inlineStr">
        <is>
          <t>Se calcula. Bloqueada para que no borres una fórmula por accidente.</t>
        </is>
      </c>
    </row>
    <row r="25" ht="18" customHeight="1">
      <c r="B25" s="18" t="n"/>
      <c r="C25" s="9" t="inlineStr">
        <is>
          <t>Negritas, arena</t>
        </is>
      </c>
      <c r="D25" s="10" t="inlineStr">
        <is>
          <t>Totales y resultados.</t>
        </is>
      </c>
    </row>
    <row r="26" ht="18" customHeight="1">
      <c r="B26" s="19" t="n"/>
      <c r="C26" s="9" t="inlineStr">
        <is>
          <t>Negritas sobre naranja</t>
        </is>
      </c>
      <c r="D26" s="10" t="inlineStr">
        <is>
          <t>El número principal de la pestaña.</t>
        </is>
      </c>
    </row>
    <row r="27" ht="31" customHeight="1">
      <c r="B27" s="20" t="n"/>
      <c r="C27" s="9" t="inlineStr">
        <is>
          <t>Alertas</t>
        </is>
      </c>
      <c r="D27" s="10" t="inlineStr">
        <is>
          <t>Cada alerta es una palabra. Naranja: revísalo (SIN CANT.). Rojo: falta dinero (SIN PRECIO).</t>
        </is>
      </c>
    </row>
    <row r="28" ht="31" customHeight="1">
      <c r="C28" s="21" t="inlineStr">
        <is>
          <t>EJEMPLO</t>
        </is>
      </c>
      <c r="D28" s="10" t="inlineStr">
        <is>
          <t>Un número de ejemplo. Cámbialo por el tuyo; ninguno es un dato real de ningún mercado.</t>
        </is>
      </c>
    </row>
    <row r="29" ht="10" customHeight="1"/>
    <row r="30" ht="24" customHeight="1">
      <c r="B30" s="6" t="inlineStr">
        <is>
          <t>Celdas bloqueadas</t>
        </is>
      </c>
      <c r="C30" s="7" t="n"/>
      <c r="D30" s="7" t="n"/>
    </row>
    <row r="31" ht="6" customHeight="1"/>
    <row r="32" ht="44" customHeight="1">
      <c r="C32" s="9" t="inlineStr">
        <is>
          <t>Protección</t>
        </is>
      </c>
      <c r="D32" s="10" t="inlineStr">
        <is>
          <t>Sin contraseña. Para cambiar una fórmula: Excel, Revisar &gt; Desproteger hoja. Google Sheets, Datos &gt; Proteger hojas y rangos. LibreOffice, Herramientas &gt; Proteger hoja.</t>
        </is>
      </c>
    </row>
    <row r="33" ht="10" customHeight="1"/>
    <row r="34" ht="24" customHeight="1">
      <c r="B34" s="6" t="inlineStr">
        <is>
          <t>Google Sheets, imprimir, ayuda</t>
        </is>
      </c>
      <c r="C34" s="7" t="n"/>
      <c r="D34" s="7" t="n"/>
    </row>
    <row r="35" ht="6" customHeight="1"/>
    <row r="36" ht="31" customHeight="1">
      <c r="C36" s="9" t="inlineStr">
        <is>
          <t>Google Sheets</t>
        </is>
      </c>
      <c r="D36" s="10" t="inlineStr">
        <is>
          <t>En Google Drive: Nuevo &gt; Subir archivo, elige este archivo y luego Abrir con &gt; Google Sheets. O en Sheets: Archivo &gt; Importar &gt; Subir.</t>
        </is>
      </c>
    </row>
    <row r="37" ht="31" customHeight="1">
      <c r="C37" s="9" t="inlineStr">
        <is>
          <t>Imprimir o PDF</t>
        </is>
      </c>
      <c r="D37" s="10" t="inlineStr">
        <is>
          <t>Abre la pestaña y luego Archivo &gt; Imprimir y elige Guardar como PDF. El Alcance de obra te dice qué páginas tienen líneas.</t>
        </is>
      </c>
    </row>
    <row r="38" ht="18" customHeight="1">
      <c r="C38" s="9" t="inlineStr">
        <is>
          <t>Ayuda</t>
        </is>
      </c>
      <c r="D38" s="10" t="inlineStr">
        <is>
          <t>Escribe a hello@builtbyestrada.ai. Dinos qué pestaña y qué escribiste.</t>
        </is>
      </c>
    </row>
    <row r="39" ht="57" customHeight="1">
      <c r="C39" s="9" t="inlineStr">
        <is>
          <t>Versión completa</t>
        </is>
      </c>
      <c r="D39" s="10" t="inlineStr">
        <is>
          <t>Agrega una lista de precios de 86 partidas, la lista de detrás de los muros que fija la contingencia, el presupuesto por oficio, el alcance con o sin precios, comparar tres cotizaciones y un calendario de pagos: https://builtbyestrada.ai/es/productos/estimador-remodelacion/</t>
        </is>
      </c>
    </row>
    <row r="40" ht="10" customHeight="1"/>
    <row r="41" ht="24" customHeight="1">
      <c r="B41" s="6" t="inlineStr">
        <is>
          <t>En palabras simples</t>
        </is>
      </c>
      <c r="C41" s="7" t="n"/>
      <c r="D41" s="7" t="n"/>
    </row>
    <row r="42" ht="6" customHeight="1"/>
    <row r="43" ht="18" customHeight="1">
      <c r="C43" s="9" t="inlineStr">
        <is>
          <t>Contingencia</t>
        </is>
      </c>
      <c r="D43" s="10" t="inlineStr">
        <is>
          <t>Dinero en el presupuesto para lo que aparece al abrir muros, pisos y techo.</t>
        </is>
      </c>
    </row>
    <row r="44" ht="18" customHeight="1">
      <c r="C44" s="9" t="inlineStr">
        <is>
          <t>Costo unitario</t>
        </is>
      </c>
      <c r="D44" s="10" t="inlineStr">
        <is>
          <t>El precio de una unidad, instalada: un pie cuadrado, una puerta, una salida.</t>
        </is>
      </c>
    </row>
    <row r="45" ht="31" customHeight="1">
      <c r="C45" s="9" t="inlineStr">
        <is>
          <t>Alcance de obra</t>
        </is>
      </c>
      <c r="D45" s="10" t="inlineStr">
        <is>
          <t>La lista del trabajo que la cuadrilla cotiza y hace. Lo que no está en la lista no está en el precio.</t>
        </is>
      </c>
    </row>
    <row r="46" ht="18" customHeight="1">
      <c r="C46" s="9" t="inlineStr">
        <is>
          <t>Cuadro</t>
        </is>
      </c>
      <c r="D46" s="10" t="inlineStr">
        <is>
          <t>Unidad de techo: 100 pies cuadrados de techo.</t>
        </is>
      </c>
    </row>
    <row r="47" ht="10" customHeight="1"/>
    <row r="48" ht="29" customHeight="1">
      <c r="C48" s="22" t="inlineStr">
        <is>
          <t>Solo son estimados. Este libro no conoce la casa, tu mercado ni tu cuadrilla. Los precios cambian por ciudad, temporada y contratista: revísalos con cotizaciones locales antes de comprar o firmar.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">
    <mergeCell ref="C48:D48"/>
    <mergeCell ref="B5:D5"/>
  </mergeCells>
  <hyperlinks>
    <hyperlink ref="C16" location="'Recorrido'!A1" display="Recorrido"/>
    <hyperlink ref="C17" location="'Presupuesto'!A1" display="Presupuesto"/>
    <hyperlink ref="C18" location="'Alcance de obra'!A1" display="Alcance de obra"/>
  </hyperlink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2" min="0" max="16383" man="1"/>
  </rowBreaks>
</worksheet>
</file>

<file path=xl/worksheets/sheet2.xml><?xml version="1.0" encoding="utf-8"?>
<worksheet xmlns="http://schemas.openxmlformats.org/spreadsheetml/2006/main">
  <sheetPr>
    <tabColor rgb="00E8590C"/>
    <outlinePr summaryBelow="1" summaryRight="1"/>
    <pageSetUpPr fitToPage="1"/>
  </sheetPr>
  <dimension ref="A1:O47"/>
  <sheetViews>
    <sheetView showGridLines="0" zoomScale="100" workbookViewId="0">
      <pane ySplit="12" topLeftCell="A13" activePane="bottomLeft" state="frozen"/>
      <selection pane="bottomLeft" activeCell="A1" sqref="A1"/>
    </sheetView>
  </sheetViews>
  <sheetFormatPr baseColWidth="8" defaultRowHeight="15"/>
  <cols>
    <col width="22" customWidth="1" min="1" max="1"/>
    <col width="32" customWidth="1" min="2" max="2"/>
    <col width="32" customWidth="1" min="3" max="3"/>
    <col width="11" customWidth="1" min="4" max="4"/>
    <col width="8" customWidth="1" min="5" max="5"/>
    <col width="17" customWidth="1" min="6" max="6"/>
    <col width="12" customWidth="1" min="7" max="7"/>
    <col width="13" customWidth="1" min="8" max="8"/>
    <col width="12" customWidth="1" min="9" max="9"/>
    <col width="13" customWidth="1" min="10" max="10"/>
    <col width="9" customWidth="1" min="11" max="11"/>
    <col width="10" customWidth="1" min="12" max="12"/>
    <col width="2" customWidth="1" min="13" max="13"/>
    <col width="22" customWidth="1" min="14" max="14"/>
    <col width="22" customWidth="1" min="15" max="15"/>
  </cols>
  <sheetData>
    <row r="1" ht="30" customHeight="1">
      <c r="A1" s="23" t="inlineStr">
        <is>
          <t>Estimador de Remodelación, versión gratis</t>
        </is>
      </c>
      <c r="B1" s="23" t="n"/>
      <c r="C1" s="23" t="n"/>
      <c r="D1" s="23" t="n"/>
      <c r="E1" s="23" t="n"/>
      <c r="F1" s="23" t="n"/>
      <c r="G1" s="23" t="n"/>
      <c r="H1" s="23" t="n"/>
      <c r="I1" s="23" t="n"/>
      <c r="J1" s="23" t="n"/>
      <c r="K1" s="23" t="n"/>
      <c r="L1" s="24" t="inlineStr">
        <is>
          <t>Built by Estrada</t>
        </is>
      </c>
    </row>
    <row r="2" ht="20" customHeight="1">
      <c r="A2" s="15" t="inlineStr">
        <is>
          <t>Marca cada partida OK, Reparar o Cambiar, escribe la cantidad y tus precios unitarios. Celdas amarillas: escribes tú. Grises: se calculan. Los números marcados EJEMPLO son de muestra: cámbialos.</t>
        </is>
      </c>
    </row>
    <row r="3" ht="26" customHeight="1">
      <c r="A3" s="22" t="inlineStr">
        <is>
          <t>La versión completa agrega una lista de 86 precios, la lista de detrás de los muros que fija la contingencia, el presupuesto por oficio, comparar tres cotizaciones y un calendario de pagos: https://builtbyestrada.ai/es/productos/estimador-remodelacion/</t>
        </is>
      </c>
    </row>
    <row r="4" ht="24" customHeight="1">
      <c r="A4" s="6" t="inlineStr">
        <is>
          <t>La casa</t>
        </is>
      </c>
      <c r="B4" s="7" t="n"/>
      <c r="C4" s="7" t="n"/>
      <c r="D4" s="7" t="n"/>
      <c r="E4" s="7" t="n"/>
      <c r="F4" s="7" t="n"/>
      <c r="G4" s="7" t="n"/>
      <c r="H4" s="7" t="n"/>
      <c r="I4" s="7" t="n"/>
      <c r="J4" s="7" t="n"/>
      <c r="K4" s="7" t="n"/>
      <c r="L4" s="7" t="n"/>
    </row>
    <row r="5" ht="18" customHeight="1">
      <c r="A5" s="25" t="inlineStr">
        <is>
          <t>Dirección</t>
        </is>
      </c>
      <c r="B5" s="26" t="inlineStr">
        <is>
          <t>Calle Ejemplo 123</t>
        </is>
      </c>
      <c r="C5" s="27" t="inlineStr">
        <is>
          <t>EJEMPLO</t>
        </is>
      </c>
      <c r="G5" s="28" t="inlineStr">
        <is>
          <t>Trabajo encontrado, sin contingencia</t>
        </is>
      </c>
    </row>
    <row r="6" ht="28" customHeight="1">
      <c r="A6" s="25" t="inlineStr">
        <is>
          <t>Fecha del recorrido</t>
        </is>
      </c>
      <c r="B6" s="29" t="n">
        <v>46300</v>
      </c>
      <c r="C6" s="27" t="inlineStr">
        <is>
          <t>EJEMPLO</t>
        </is>
      </c>
      <c r="G6" s="30">
        <f>SUM(I13:I47)</f>
        <v/>
      </c>
      <c r="H6" s="31" t="n"/>
      <c r="I6" s="32" t="n"/>
    </row>
    <row r="7" ht="18" customHeight="1">
      <c r="A7" s="25" t="inlineStr">
        <is>
          <t>Preparado por</t>
        </is>
      </c>
      <c r="B7" s="26" t="inlineStr">
        <is>
          <t>Tu nombre, teléfono</t>
        </is>
      </c>
      <c r="C7" s="27" t="inlineStr">
        <is>
          <t>EJEMPLO</t>
        </is>
      </c>
    </row>
    <row r="8" ht="18" customHeight="1">
      <c r="A8" s="25" t="inlineStr">
        <is>
          <t>Área habitable (pie²)</t>
        </is>
      </c>
      <c r="B8" s="33" t="n">
        <v>1400</v>
      </c>
      <c r="C8" s="27" t="inlineStr">
        <is>
          <t>EJEMPLO</t>
        </is>
      </c>
      <c r="G8" s="25" t="inlineStr">
        <is>
          <t>Líneas en el Alcance de obra</t>
        </is>
      </c>
      <c r="I8" s="34">
        <f>COUNT(K13:K47)</f>
        <v/>
      </c>
    </row>
    <row r="9" ht="18" customHeight="1">
      <c r="G9" s="25" t="inlineStr">
        <is>
          <t>Líneas para revisar</t>
        </is>
      </c>
      <c r="I9" s="34">
        <f>SUMPRODUCT(--(LEN(J13:J40)&gt;0))+SUMPRODUCT(--(LEN(J44:J47)&gt;0))</f>
        <v/>
      </c>
      <c r="J9" s="35">
        <f>IF(I9&gt;0,"REVISA","OK")</f>
        <v/>
      </c>
    </row>
    <row r="10" ht="18" customHeight="1"/>
    <row r="11" ht="24" customHeight="1">
      <c r="A11" s="6" t="inlineStr">
        <is>
          <t>Cuarto por cuarto: marca cada partida OK, Reparar o Cambiar</t>
        </is>
      </c>
      <c r="B11" s="7" t="n"/>
      <c r="C11" s="7" t="n"/>
      <c r="D11" s="7" t="n"/>
      <c r="E11" s="7" t="n"/>
      <c r="F11" s="7" t="n"/>
      <c r="G11" s="7" t="n"/>
      <c r="H11" s="7" t="n"/>
      <c r="I11" s="7" t="n"/>
      <c r="J11" s="7" t="n"/>
      <c r="K11" s="7" t="n"/>
      <c r="L11" s="7" t="n"/>
    </row>
    <row r="12" ht="40" customHeight="1">
      <c r="A12" s="36" t="inlineStr">
        <is>
          <t>Área</t>
        </is>
      </c>
      <c r="B12" s="36" t="inlineStr">
        <is>
          <t>Partida</t>
        </is>
      </c>
      <c r="C12" s="36" t="inlineStr">
        <is>
          <t>Partida en inglés</t>
        </is>
      </c>
      <c r="D12" s="37" t="inlineStr">
        <is>
          <t>Estado</t>
        </is>
      </c>
      <c r="E12" s="38" t="inlineStr">
        <is>
          <t>Cant.</t>
        </is>
      </c>
      <c r="F12" s="36" t="inlineStr">
        <is>
          <t>Unidad · en inglés</t>
        </is>
      </c>
      <c r="G12" s="38" t="inlineStr">
        <is>
          <t>Reparar, por unidad</t>
        </is>
      </c>
      <c r="H12" s="38" t="inlineStr">
        <is>
          <t>Cambiar o nuevo, por unidad</t>
        </is>
      </c>
      <c r="I12" s="38" t="inlineStr">
        <is>
          <t>Total</t>
        </is>
      </c>
      <c r="J12" s="37" t="inlineStr">
        <is>
          <t>Revisión</t>
        </is>
      </c>
      <c r="K12" s="37" t="inlineStr">
        <is>
          <t># en alcance</t>
        </is>
      </c>
      <c r="L12" s="37" t="inlineStr"/>
      <c r="N12" s="36" t="inlineStr">
        <is>
          <t>Área (cámbiala aquí)</t>
        </is>
      </c>
      <c r="O12" s="36" t="inlineStr">
        <is>
          <t>En inglés</t>
        </is>
      </c>
    </row>
    <row r="13" ht="18" customHeight="1">
      <c r="A13" s="39" t="inlineStr">
        <is>
          <t>Exterior</t>
        </is>
      </c>
      <c r="B13" s="39" t="inlineStr">
        <is>
          <t>Pintura exterior</t>
        </is>
      </c>
      <c r="C13" s="39" t="inlineStr">
        <is>
          <t>Exterior paint</t>
        </is>
      </c>
      <c r="D13" s="40" t="inlineStr">
        <is>
          <t>Cambiar</t>
        </is>
      </c>
      <c r="E13" s="41" t="n">
        <v>1600</v>
      </c>
      <c r="F13" s="39" t="inlineStr">
        <is>
          <t>pie² · sq ft</t>
        </is>
      </c>
      <c r="G13" s="42" t="n">
        <v>1.25</v>
      </c>
      <c r="H13" s="42" t="n">
        <v>2.25</v>
      </c>
      <c r="I13" s="43">
        <f>IF(OR(D13="",D13="OK"),0,N(E13)*IF(D13="Reparar",N(G13),N(H13)))</f>
        <v/>
      </c>
      <c r="J13" s="35">
        <f>IF(B13="","",IF(D13="","SIN ESTADO",IF(D13="OK","",IF(N(E13)&lt;=0,"SIN CANT.",IF(IF(D13="Reparar",N(G13),N(H13))&lt;=0,"SIN PRECIO","")))))</f>
        <v/>
      </c>
      <c r="K13" s="44">
        <f>IF(AND(B13&lt;&gt;"",OR(D13="Reparar",D13="Cambiar"),N(E13)&gt;0),COUNT(K$12:K12)+1,"")</f>
        <v/>
      </c>
      <c r="L13" s="45" t="inlineStr">
        <is>
          <t>EJEMPLO</t>
        </is>
      </c>
      <c r="N13" s="39" t="inlineStr">
        <is>
          <t>Exterior</t>
        </is>
      </c>
      <c r="O13" s="39" t="inlineStr">
        <is>
          <t>Exterior</t>
        </is>
      </c>
    </row>
    <row r="14" ht="18" customHeight="1">
      <c r="A14" s="39" t="inlineStr">
        <is>
          <t>Exterior</t>
        </is>
      </c>
      <c r="B14" s="39" t="inlineStr">
        <is>
          <t>Revestimiento exterior (siding)</t>
        </is>
      </c>
      <c r="C14" s="39" t="inlineStr">
        <is>
          <t>Siding</t>
        </is>
      </c>
      <c r="D14" s="40" t="inlineStr">
        <is>
          <t>Reparar</t>
        </is>
      </c>
      <c r="E14" s="41" t="n">
        <v>120</v>
      </c>
      <c r="F14" s="39" t="inlineStr">
        <is>
          <t>pie² · sq ft</t>
        </is>
      </c>
      <c r="G14" s="42" t="n">
        <v>6</v>
      </c>
      <c r="H14" s="42" t="n">
        <v>9</v>
      </c>
      <c r="I14" s="43">
        <f>IF(OR(D14="",D14="OK"),0,N(E14)*IF(D14="Reparar",N(G14),N(H14)))</f>
        <v/>
      </c>
      <c r="J14" s="35">
        <f>IF(B14="","",IF(D14="","SIN ESTADO",IF(D14="OK","",IF(N(E14)&lt;=0,"SIN CANT.",IF(IF(D14="Reparar",N(G14),N(H14))&lt;=0,"SIN PRECIO","")))))</f>
        <v/>
      </c>
      <c r="K14" s="44">
        <f>IF(AND(B14&lt;&gt;"",OR(D14="Reparar",D14="Cambiar"),N(E14)&gt;0),COUNT(K$12:K13)+1,"")</f>
        <v/>
      </c>
      <c r="L14" s="45" t="inlineStr">
        <is>
          <t>EJEMPLO</t>
        </is>
      </c>
      <c r="N14" s="39" t="inlineStr">
        <is>
          <t>Techo</t>
        </is>
      </c>
      <c r="O14" s="39" t="inlineStr">
        <is>
          <t>Roof</t>
        </is>
      </c>
    </row>
    <row r="15" ht="18" customHeight="1">
      <c r="A15" s="39" t="inlineStr">
        <is>
          <t>Exterior</t>
        </is>
      </c>
      <c r="B15" s="39" t="inlineStr">
        <is>
          <t>Puerta exterior</t>
        </is>
      </c>
      <c r="C15" s="39" t="inlineStr">
        <is>
          <t>Exterior door</t>
        </is>
      </c>
      <c r="D15" s="40" t="inlineStr">
        <is>
          <t>Cambiar</t>
        </is>
      </c>
      <c r="E15" s="41" t="n">
        <v>2</v>
      </c>
      <c r="F15" s="39" t="inlineStr">
        <is>
          <t>pza · each</t>
        </is>
      </c>
      <c r="G15" s="42" t="n">
        <v>150</v>
      </c>
      <c r="H15" s="42" t="n">
        <v>900</v>
      </c>
      <c r="I15" s="43">
        <f>IF(OR(D15="",D15="OK"),0,N(E15)*IF(D15="Reparar",N(G15),N(H15)))</f>
        <v/>
      </c>
      <c r="J15" s="35">
        <f>IF(B15="","",IF(D15="","SIN ESTADO",IF(D15="OK","",IF(N(E15)&lt;=0,"SIN CANT.",IF(IF(D15="Reparar",N(G15),N(H15))&lt;=0,"SIN PRECIO","")))))</f>
        <v/>
      </c>
      <c r="K15" s="44">
        <f>IF(AND(B15&lt;&gt;"",OR(D15="Reparar",D15="Cambiar"),N(E15)&gt;0),COUNT(K$12:K14)+1,"")</f>
        <v/>
      </c>
      <c r="L15" s="45" t="inlineStr">
        <is>
          <t>EJEMPLO</t>
        </is>
      </c>
      <c r="N15" s="39" t="inlineStr">
        <is>
          <t>Cocina</t>
        </is>
      </c>
      <c r="O15" s="39" t="inlineStr">
        <is>
          <t>Kitchen</t>
        </is>
      </c>
    </row>
    <row r="16" ht="18" customHeight="1">
      <c r="A16" s="39" t="inlineStr">
        <is>
          <t>Techo</t>
        </is>
      </c>
      <c r="B16" s="39" t="inlineStr">
        <is>
          <t>Techo de teja asfáltica</t>
        </is>
      </c>
      <c r="C16" s="39" t="inlineStr">
        <is>
          <t>Shingle roof</t>
        </is>
      </c>
      <c r="D16" s="40" t="inlineStr">
        <is>
          <t>Cambiar</t>
        </is>
      </c>
      <c r="E16" s="41" t="n">
        <v>20</v>
      </c>
      <c r="F16" s="39" t="inlineStr">
        <is>
          <t>cuadro · square</t>
        </is>
      </c>
      <c r="G16" s="42" t="n">
        <v>120</v>
      </c>
      <c r="H16" s="42" t="n">
        <v>450</v>
      </c>
      <c r="I16" s="43">
        <f>IF(OR(D16="",D16="OK"),0,N(E16)*IF(D16="Reparar",N(G16),N(H16)))</f>
        <v/>
      </c>
      <c r="J16" s="35">
        <f>IF(B16="","",IF(D16="","SIN ESTADO",IF(D16="OK","",IF(N(E16)&lt;=0,"SIN CANT.",IF(IF(D16="Reparar",N(G16),N(H16))&lt;=0,"SIN PRECIO","")))))</f>
        <v/>
      </c>
      <c r="K16" s="44">
        <f>IF(AND(B16&lt;&gt;"",OR(D16="Reparar",D16="Cambiar"),N(E16)&gt;0),COUNT(K$12:K15)+1,"")</f>
        <v/>
      </c>
      <c r="L16" s="45" t="inlineStr">
        <is>
          <t>EJEMPLO</t>
        </is>
      </c>
      <c r="N16" s="39" t="inlineStr">
        <is>
          <t>Baños</t>
        </is>
      </c>
      <c r="O16" s="39" t="inlineStr">
        <is>
          <t>Bathrooms</t>
        </is>
      </c>
    </row>
    <row r="17" ht="18" customHeight="1">
      <c r="A17" s="39" t="inlineStr">
        <is>
          <t>Techo</t>
        </is>
      </c>
      <c r="B17" s="39" t="inlineStr">
        <is>
          <t>Triplay del techo (decking)</t>
        </is>
      </c>
      <c r="C17" s="39" t="inlineStr">
        <is>
          <t>Roof decking</t>
        </is>
      </c>
      <c r="D17" s="40" t="inlineStr">
        <is>
          <t>Cambiar</t>
        </is>
      </c>
      <c r="E17" s="41" t="n">
        <v>6</v>
      </c>
      <c r="F17" s="39" t="inlineStr">
        <is>
          <t>hoja · sheet</t>
        </is>
      </c>
      <c r="G17" s="42" t="n"/>
      <c r="H17" s="42" t="n">
        <v>75</v>
      </c>
      <c r="I17" s="43">
        <f>IF(OR(D17="",D17="OK"),0,N(E17)*IF(D17="Reparar",N(G17),N(H17)))</f>
        <v/>
      </c>
      <c r="J17" s="35">
        <f>IF(B17="","",IF(D17="","SIN ESTADO",IF(D17="OK","",IF(N(E17)&lt;=0,"SIN CANT.",IF(IF(D17="Reparar",N(G17),N(H17))&lt;=0,"SIN PRECIO","")))))</f>
        <v/>
      </c>
      <c r="K17" s="44">
        <f>IF(AND(B17&lt;&gt;"",OR(D17="Reparar",D17="Cambiar"),N(E17)&gt;0),COUNT(K$12:K16)+1,"")</f>
        <v/>
      </c>
      <c r="L17" s="45" t="inlineStr">
        <is>
          <t>EJEMPLO</t>
        </is>
      </c>
      <c r="N17" s="39" t="inlineStr">
        <is>
          <t>Toda la casa</t>
        </is>
      </c>
      <c r="O17" s="39" t="inlineStr">
        <is>
          <t>Whole house</t>
        </is>
      </c>
    </row>
    <row r="18" ht="18" customHeight="1">
      <c r="A18" s="39" t="inlineStr">
        <is>
          <t>Cocina</t>
        </is>
      </c>
      <c r="B18" s="39" t="inlineStr">
        <is>
          <t>Gabinetes bajos y altos</t>
        </is>
      </c>
      <c r="C18" s="39" t="inlineStr">
        <is>
          <t>Cabinets, base and upper</t>
        </is>
      </c>
      <c r="D18" s="40" t="inlineStr">
        <is>
          <t>Cambiar</t>
        </is>
      </c>
      <c r="E18" s="41" t="n">
        <v>22</v>
      </c>
      <c r="F18" s="39" t="inlineStr">
        <is>
          <t>pie lineal · lin ft</t>
        </is>
      </c>
      <c r="G18" s="42" t="n">
        <v>60</v>
      </c>
      <c r="H18" s="42" t="n">
        <v>220</v>
      </c>
      <c r="I18" s="43">
        <f>IF(OR(D18="",D18="OK"),0,N(E18)*IF(D18="Reparar",N(G18),N(H18)))</f>
        <v/>
      </c>
      <c r="J18" s="35">
        <f>IF(B18="","",IF(D18="","SIN ESTADO",IF(D18="OK","",IF(N(E18)&lt;=0,"SIN CANT.",IF(IF(D18="Reparar",N(G18),N(H18))&lt;=0,"SIN PRECIO","")))))</f>
        <v/>
      </c>
      <c r="K18" s="44">
        <f>IF(AND(B18&lt;&gt;"",OR(D18="Reparar",D18="Cambiar"),N(E18)&gt;0),COUNT(K$12:K17)+1,"")</f>
        <v/>
      </c>
      <c r="L18" s="45" t="inlineStr">
        <is>
          <t>EJEMPLO</t>
        </is>
      </c>
      <c r="N18" s="39" t="n"/>
      <c r="O18" s="39" t="n"/>
    </row>
    <row r="19" ht="18" customHeight="1">
      <c r="A19" s="39" t="inlineStr">
        <is>
          <t>Cocina</t>
        </is>
      </c>
      <c r="B19" s="39" t="inlineStr">
        <is>
          <t>Cubiertas</t>
        </is>
      </c>
      <c r="C19" s="39" t="inlineStr">
        <is>
          <t>Countertops</t>
        </is>
      </c>
      <c r="D19" s="40" t="inlineStr">
        <is>
          <t>Cambiar</t>
        </is>
      </c>
      <c r="E19" s="41" t="n">
        <v>32</v>
      </c>
      <c r="F19" s="39" t="inlineStr">
        <is>
          <t>pie² · sq ft</t>
        </is>
      </c>
      <c r="G19" s="42" t="n">
        <v>15</v>
      </c>
      <c r="H19" s="42" t="n">
        <v>55</v>
      </c>
      <c r="I19" s="43">
        <f>IF(OR(D19="",D19="OK"),0,N(E19)*IF(D19="Reparar",N(G19),N(H19)))</f>
        <v/>
      </c>
      <c r="J19" s="35">
        <f>IF(B19="","",IF(D19="","SIN ESTADO",IF(D19="OK","",IF(N(E19)&lt;=0,"SIN CANT.",IF(IF(D19="Reparar",N(G19),N(H19))&lt;=0,"SIN PRECIO","")))))</f>
        <v/>
      </c>
      <c r="K19" s="44">
        <f>IF(AND(B19&lt;&gt;"",OR(D19="Reparar",D19="Cambiar"),N(E19)&gt;0),COUNT(K$12:K18)+1,"")</f>
        <v/>
      </c>
      <c r="L19" s="45" t="inlineStr">
        <is>
          <t>EJEMPLO</t>
        </is>
      </c>
      <c r="N19" s="39" t="n"/>
      <c r="O19" s="39" t="n"/>
    </row>
    <row r="20" ht="18" customHeight="1">
      <c r="A20" s="39" t="inlineStr">
        <is>
          <t>Cocina</t>
        </is>
      </c>
      <c r="B20" s="39" t="inlineStr">
        <is>
          <t>Tarja y llave de cocina</t>
        </is>
      </c>
      <c r="C20" s="39" t="inlineStr">
        <is>
          <t>Kitchen sink and faucet</t>
        </is>
      </c>
      <c r="D20" s="40" t="inlineStr">
        <is>
          <t>Cambiar</t>
        </is>
      </c>
      <c r="E20" s="41" t="n">
        <v>1</v>
      </c>
      <c r="F20" s="39" t="inlineStr">
        <is>
          <t>pza · each</t>
        </is>
      </c>
      <c r="G20" s="42" t="n">
        <v>120</v>
      </c>
      <c r="H20" s="42" t="n">
        <v>450</v>
      </c>
      <c r="I20" s="43">
        <f>IF(OR(D20="",D20="OK"),0,N(E20)*IF(D20="Reparar",N(G20),N(H20)))</f>
        <v/>
      </c>
      <c r="J20" s="35">
        <f>IF(B20="","",IF(D20="","SIN ESTADO",IF(D20="OK","",IF(N(E20)&lt;=0,"SIN CANT.",IF(IF(D20="Reparar",N(G20),N(H20))&lt;=0,"SIN PRECIO","")))))</f>
        <v/>
      </c>
      <c r="K20" s="44">
        <f>IF(AND(B20&lt;&gt;"",OR(D20="Reparar",D20="Cambiar"),N(E20)&gt;0),COUNT(K$12:K19)+1,"")</f>
        <v/>
      </c>
      <c r="L20" s="45" t="inlineStr">
        <is>
          <t>EJEMPLO</t>
        </is>
      </c>
      <c r="N20" s="39" t="n"/>
      <c r="O20" s="39" t="n"/>
    </row>
    <row r="21" ht="18" customHeight="1">
      <c r="A21" s="39" t="inlineStr">
        <is>
          <t>Cocina</t>
        </is>
      </c>
      <c r="B21" s="39" t="inlineStr">
        <is>
          <t>Estufa</t>
        </is>
      </c>
      <c r="C21" s="39" t="inlineStr">
        <is>
          <t>Range</t>
        </is>
      </c>
      <c r="D21" s="40" t="inlineStr">
        <is>
          <t>Cambiar</t>
        </is>
      </c>
      <c r="E21" s="41" t="n">
        <v>1</v>
      </c>
      <c r="F21" s="39" t="inlineStr">
        <is>
          <t>pza · each</t>
        </is>
      </c>
      <c r="G21" s="42" t="n">
        <v>150</v>
      </c>
      <c r="H21" s="42" t="n">
        <v>900</v>
      </c>
      <c r="I21" s="43">
        <f>IF(OR(D21="",D21="OK"),0,N(E21)*IF(D21="Reparar",N(G21),N(H21)))</f>
        <v/>
      </c>
      <c r="J21" s="35">
        <f>IF(B21="","",IF(D21="","SIN ESTADO",IF(D21="OK","",IF(N(E21)&lt;=0,"SIN CANT.",IF(IF(D21="Reparar",N(G21),N(H21))&lt;=0,"SIN PRECIO","")))))</f>
        <v/>
      </c>
      <c r="K21" s="44">
        <f>IF(AND(B21&lt;&gt;"",OR(D21="Reparar",D21="Cambiar"),N(E21)&gt;0),COUNT(K$12:K20)+1,"")</f>
        <v/>
      </c>
      <c r="L21" s="45" t="inlineStr">
        <is>
          <t>EJEMPLO</t>
        </is>
      </c>
    </row>
    <row r="22" ht="18" customHeight="1">
      <c r="A22" s="39" t="inlineStr">
        <is>
          <t>Cocina</t>
        </is>
      </c>
      <c r="B22" s="39" t="inlineStr">
        <is>
          <t>Refrigerador</t>
        </is>
      </c>
      <c r="C22" s="39" t="inlineStr">
        <is>
          <t>Refrigerator</t>
        </is>
      </c>
      <c r="D22" s="40" t="inlineStr">
        <is>
          <t>Cambiar</t>
        </is>
      </c>
      <c r="E22" s="41" t="n">
        <v>1</v>
      </c>
      <c r="F22" s="39" t="inlineStr">
        <is>
          <t>pza · each</t>
        </is>
      </c>
      <c r="G22" s="42" t="n">
        <v>150</v>
      </c>
      <c r="H22" s="42" t="n">
        <v>1400</v>
      </c>
      <c r="I22" s="43">
        <f>IF(OR(D22="",D22="OK"),0,N(E22)*IF(D22="Reparar",N(G22),N(H22)))</f>
        <v/>
      </c>
      <c r="J22" s="35">
        <f>IF(B22="","",IF(D22="","SIN ESTADO",IF(D22="OK","",IF(N(E22)&lt;=0,"SIN CANT.",IF(IF(D22="Reparar",N(G22),N(H22))&lt;=0,"SIN PRECIO","")))))</f>
        <v/>
      </c>
      <c r="K22" s="44">
        <f>IF(AND(B22&lt;&gt;"",OR(D22="Reparar",D22="Cambiar"),N(E22)&gt;0),COUNT(K$12:K21)+1,"")</f>
        <v/>
      </c>
      <c r="L22" s="45" t="inlineStr">
        <is>
          <t>EJEMPLO</t>
        </is>
      </c>
    </row>
    <row r="23" ht="18" customHeight="1">
      <c r="A23" s="39" t="inlineStr">
        <is>
          <t>Baños</t>
        </is>
      </c>
      <c r="B23" s="39" t="inlineStr">
        <is>
          <t>Lavabo con mueble y llave</t>
        </is>
      </c>
      <c r="C23" s="39" t="inlineStr">
        <is>
          <t>Vanity with top and faucet</t>
        </is>
      </c>
      <c r="D23" s="40" t="inlineStr">
        <is>
          <t>Cambiar</t>
        </is>
      </c>
      <c r="E23" s="41" t="n">
        <v>2</v>
      </c>
      <c r="F23" s="39" t="inlineStr">
        <is>
          <t>pza · each</t>
        </is>
      </c>
      <c r="G23" s="42" t="n">
        <v>150</v>
      </c>
      <c r="H23" s="42" t="n">
        <v>750</v>
      </c>
      <c r="I23" s="43">
        <f>IF(OR(D23="",D23="OK"),0,N(E23)*IF(D23="Reparar",N(G23),N(H23)))</f>
        <v/>
      </c>
      <c r="J23" s="35">
        <f>IF(B23="","",IF(D23="","SIN ESTADO",IF(D23="OK","",IF(N(E23)&lt;=0,"SIN CANT.",IF(IF(D23="Reparar",N(G23),N(H23))&lt;=0,"SIN PRECIO","")))))</f>
        <v/>
      </c>
      <c r="K23" s="44">
        <f>IF(AND(B23&lt;&gt;"",OR(D23="Reparar",D23="Cambiar"),N(E23)&gt;0),COUNT(K$12:K22)+1,"")</f>
        <v/>
      </c>
      <c r="L23" s="45" t="inlineStr">
        <is>
          <t>EJEMPLO</t>
        </is>
      </c>
    </row>
    <row r="24" ht="18" customHeight="1">
      <c r="A24" s="39" t="inlineStr">
        <is>
          <t>Baños</t>
        </is>
      </c>
      <c r="B24" s="39" t="inlineStr">
        <is>
          <t>Sanitario</t>
        </is>
      </c>
      <c r="C24" s="39" t="inlineStr">
        <is>
          <t>Toilet</t>
        </is>
      </c>
      <c r="D24" s="40" t="inlineStr">
        <is>
          <t>Cambiar</t>
        </is>
      </c>
      <c r="E24" s="41" t="n">
        <v>1</v>
      </c>
      <c r="F24" s="39" t="inlineStr">
        <is>
          <t>pza · each</t>
        </is>
      </c>
      <c r="G24" s="42" t="n">
        <v>120</v>
      </c>
      <c r="H24" s="42" t="n">
        <v>400</v>
      </c>
      <c r="I24" s="43">
        <f>IF(OR(D24="",D24="OK"),0,N(E24)*IF(D24="Reparar",N(G24),N(H24)))</f>
        <v/>
      </c>
      <c r="J24" s="35">
        <f>IF(B24="","",IF(D24="","SIN ESTADO",IF(D24="OK","",IF(N(E24)&lt;=0,"SIN CANT.",IF(IF(D24="Reparar",N(G24),N(H24))&lt;=0,"SIN PRECIO","")))))</f>
        <v/>
      </c>
      <c r="K24" s="44">
        <f>IF(AND(B24&lt;&gt;"",OR(D24="Reparar",D24="Cambiar"),N(E24)&gt;0),COUNT(K$12:K23)+1,"")</f>
        <v/>
      </c>
      <c r="L24" s="45" t="inlineStr">
        <is>
          <t>EJEMPLO</t>
        </is>
      </c>
    </row>
    <row r="25" ht="18" customHeight="1">
      <c r="A25" s="39" t="inlineStr">
        <is>
          <t>Baños</t>
        </is>
      </c>
      <c r="B25" s="39" t="inlineStr">
        <is>
          <t>Muros de regadera o tina</t>
        </is>
      </c>
      <c r="C25" s="39" t="inlineStr">
        <is>
          <t>Shower or tub walls</t>
        </is>
      </c>
      <c r="D25" s="40" t="inlineStr">
        <is>
          <t>Cambiar</t>
        </is>
      </c>
      <c r="E25" s="41" t="n">
        <v>60</v>
      </c>
      <c r="F25" s="39" t="inlineStr">
        <is>
          <t>pie² · sq ft</t>
        </is>
      </c>
      <c r="G25" s="42" t="n">
        <v>15</v>
      </c>
      <c r="H25" s="42" t="n">
        <v>28</v>
      </c>
      <c r="I25" s="43">
        <f>IF(OR(D25="",D25="OK"),0,N(E25)*IF(D25="Reparar",N(G25),N(H25)))</f>
        <v/>
      </c>
      <c r="J25" s="35">
        <f>IF(B25="","",IF(D25="","SIN ESTADO",IF(D25="OK","",IF(N(E25)&lt;=0,"SIN CANT.",IF(IF(D25="Reparar",N(G25),N(H25))&lt;=0,"SIN PRECIO","")))))</f>
        <v/>
      </c>
      <c r="K25" s="44">
        <f>IF(AND(B25&lt;&gt;"",OR(D25="Reparar",D25="Cambiar"),N(E25)&gt;0),COUNT(K$12:K24)+1,"")</f>
        <v/>
      </c>
      <c r="L25" s="45" t="inlineStr">
        <is>
          <t>EJEMPLO</t>
        </is>
      </c>
    </row>
    <row r="26" ht="18" customHeight="1">
      <c r="A26" s="39" t="inlineStr">
        <is>
          <t>Baños</t>
        </is>
      </c>
      <c r="B26" s="39" t="inlineStr">
        <is>
          <t>Extractor de baño</t>
        </is>
      </c>
      <c r="C26" s="39" t="inlineStr">
        <is>
          <t>Bath exhaust fan</t>
        </is>
      </c>
      <c r="D26" s="40" t="inlineStr">
        <is>
          <t>Cambiar</t>
        </is>
      </c>
      <c r="E26" s="41" t="n">
        <v>2</v>
      </c>
      <c r="F26" s="39" t="inlineStr">
        <is>
          <t>pza · each</t>
        </is>
      </c>
      <c r="G26" s="42" t="n">
        <v>60</v>
      </c>
      <c r="H26" s="42" t="n">
        <v>220</v>
      </c>
      <c r="I26" s="43">
        <f>IF(OR(D26="",D26="OK"),0,N(E26)*IF(D26="Reparar",N(G26),N(H26)))</f>
        <v/>
      </c>
      <c r="J26" s="35">
        <f>IF(B26="","",IF(D26="","SIN ESTADO",IF(D26="OK","",IF(N(E26)&lt;=0,"SIN CANT.",IF(IF(D26="Reparar",N(G26),N(H26))&lt;=0,"SIN PRECIO","")))))</f>
        <v/>
      </c>
      <c r="K26" s="44">
        <f>IF(AND(B26&lt;&gt;"",OR(D26="Reparar",D26="Cambiar"),N(E26)&gt;0),COUNT(K$12:K25)+1,"")</f>
        <v/>
      </c>
      <c r="L26" s="45" t="inlineStr">
        <is>
          <t>EJEMPLO</t>
        </is>
      </c>
    </row>
    <row r="27" ht="18" customHeight="1">
      <c r="A27" s="39" t="inlineStr">
        <is>
          <t>Toda la casa</t>
        </is>
      </c>
      <c r="B27" s="39" t="inlineStr">
        <is>
          <t>Piso vinílico (LVP)</t>
        </is>
      </c>
      <c r="C27" s="39" t="inlineStr">
        <is>
          <t>LVP flooring</t>
        </is>
      </c>
      <c r="D27" s="40" t="inlineStr">
        <is>
          <t>Cambiar</t>
        </is>
      </c>
      <c r="E27" s="41" t="n">
        <v>1150</v>
      </c>
      <c r="F27" s="39" t="inlineStr">
        <is>
          <t>pie² · sq ft</t>
        </is>
      </c>
      <c r="G27" s="42" t="n">
        <v>3</v>
      </c>
      <c r="H27" s="42" t="n">
        <v>5</v>
      </c>
      <c r="I27" s="43">
        <f>IF(OR(D27="",D27="OK"),0,N(E27)*IF(D27="Reparar",N(G27),N(H27)))</f>
        <v/>
      </c>
      <c r="J27" s="35">
        <f>IF(B27="","",IF(D27="","SIN ESTADO",IF(D27="OK","",IF(N(E27)&lt;=0,"SIN CANT.",IF(IF(D27="Reparar",N(G27),N(H27))&lt;=0,"SIN PRECIO","")))))</f>
        <v/>
      </c>
      <c r="K27" s="44">
        <f>IF(AND(B27&lt;&gt;"",OR(D27="Reparar",D27="Cambiar"),N(E27)&gt;0),COUNT(K$12:K26)+1,"")</f>
        <v/>
      </c>
      <c r="L27" s="45" t="inlineStr">
        <is>
          <t>EJEMPLO</t>
        </is>
      </c>
    </row>
    <row r="28" ht="18" customHeight="1">
      <c r="A28" s="39" t="inlineStr">
        <is>
          <t>Toda la casa</t>
        </is>
      </c>
      <c r="B28" s="39" t="inlineStr">
        <is>
          <t>Pintura interior, muros y plafones</t>
        </is>
      </c>
      <c r="C28" s="39" t="inlineStr">
        <is>
          <t>Interior paint, walls and ceilings</t>
        </is>
      </c>
      <c r="D28" s="40" t="inlineStr">
        <is>
          <t>Cambiar</t>
        </is>
      </c>
      <c r="E28" s="41" t="n">
        <v>1400</v>
      </c>
      <c r="F28" s="39" t="inlineStr">
        <is>
          <t>pie² · sq ft</t>
        </is>
      </c>
      <c r="G28" s="42" t="n">
        <v>1.5</v>
      </c>
      <c r="H28" s="42" t="n">
        <v>3.25</v>
      </c>
      <c r="I28" s="43">
        <f>IF(OR(D28="",D28="OK"),0,N(E28)*IF(D28="Reparar",N(G28),N(H28)))</f>
        <v/>
      </c>
      <c r="J28" s="35">
        <f>IF(B28="","",IF(D28="","SIN ESTADO",IF(D28="OK","",IF(N(E28)&lt;=0,"SIN CANT.",IF(IF(D28="Reparar",N(G28),N(H28))&lt;=0,"SIN PRECIO","")))))</f>
        <v/>
      </c>
      <c r="K28" s="44">
        <f>IF(AND(B28&lt;&gt;"",OR(D28="Reparar",D28="Cambiar"),N(E28)&gt;0),COUNT(K$12:K27)+1,"")</f>
        <v/>
      </c>
      <c r="L28" s="45" t="inlineStr">
        <is>
          <t>EJEMPLO</t>
        </is>
      </c>
    </row>
    <row r="29" ht="18" customHeight="1">
      <c r="A29" s="39" t="inlineStr">
        <is>
          <t>Toda la casa</t>
        </is>
      </c>
      <c r="B29" s="39" t="inlineStr">
        <is>
          <t>Tablaroca</t>
        </is>
      </c>
      <c r="C29" s="39" t="inlineStr">
        <is>
          <t>Drywall</t>
        </is>
      </c>
      <c r="D29" s="40" t="inlineStr">
        <is>
          <t>Reparar</t>
        </is>
      </c>
      <c r="E29" s="41" t="n">
        <v>140</v>
      </c>
      <c r="F29" s="39" t="inlineStr">
        <is>
          <t>pie² · sq ft</t>
        </is>
      </c>
      <c r="G29" s="42" t="n">
        <v>3</v>
      </c>
      <c r="H29" s="42" t="n">
        <v>4.5</v>
      </c>
      <c r="I29" s="43">
        <f>IF(OR(D29="",D29="OK"),0,N(E29)*IF(D29="Reparar",N(G29),N(H29)))</f>
        <v/>
      </c>
      <c r="J29" s="35">
        <f>IF(B29="","",IF(D29="","SIN ESTADO",IF(D29="OK","",IF(N(E29)&lt;=0,"SIN CANT.",IF(IF(D29="Reparar",N(G29),N(H29))&lt;=0,"SIN PRECIO","")))))</f>
        <v/>
      </c>
      <c r="K29" s="44">
        <f>IF(AND(B29&lt;&gt;"",OR(D29="Reparar",D29="Cambiar"),N(E29)&gt;0),COUNT(K$12:K28)+1,"")</f>
        <v/>
      </c>
      <c r="L29" s="45" t="inlineStr">
        <is>
          <t>EJEMPLO</t>
        </is>
      </c>
    </row>
    <row r="30" ht="18" customHeight="1">
      <c r="A30" s="39" t="inlineStr">
        <is>
          <t>Toda la casa</t>
        </is>
      </c>
      <c r="B30" s="39" t="inlineStr">
        <is>
          <t>Puerta interior</t>
        </is>
      </c>
      <c r="C30" s="39" t="inlineStr">
        <is>
          <t>Interior door</t>
        </is>
      </c>
      <c r="D30" s="40" t="inlineStr">
        <is>
          <t>Cambiar</t>
        </is>
      </c>
      <c r="E30" s="41" t="n">
        <v>2</v>
      </c>
      <c r="F30" s="39" t="inlineStr">
        <is>
          <t>pza · each</t>
        </is>
      </c>
      <c r="G30" s="42" t="n">
        <v>75</v>
      </c>
      <c r="H30" s="42" t="n">
        <v>250</v>
      </c>
      <c r="I30" s="43">
        <f>IF(OR(D30="",D30="OK"),0,N(E30)*IF(D30="Reparar",N(G30),N(H30)))</f>
        <v/>
      </c>
      <c r="J30" s="35">
        <f>IF(B30="","",IF(D30="","SIN ESTADO",IF(D30="OK","",IF(N(E30)&lt;=0,"SIN CANT.",IF(IF(D30="Reparar",N(G30),N(H30))&lt;=0,"SIN PRECIO","")))))</f>
        <v/>
      </c>
      <c r="K30" s="44">
        <f>IF(AND(B30&lt;&gt;"",OR(D30="Reparar",D30="Cambiar"),N(E30)&gt;0),COUNT(K$12:K29)+1,"")</f>
        <v/>
      </c>
      <c r="L30" s="45" t="inlineStr">
        <is>
          <t>EJEMPLO</t>
        </is>
      </c>
    </row>
    <row r="31" ht="18" customHeight="1">
      <c r="A31" s="39" t="inlineStr">
        <is>
          <t>Toda la casa</t>
        </is>
      </c>
      <c r="B31" s="39" t="inlineStr">
        <is>
          <t>Calentador de agua, 40-50 gal</t>
        </is>
      </c>
      <c r="C31" s="39" t="inlineStr">
        <is>
          <t>Water heater, 40-50 gal</t>
        </is>
      </c>
      <c r="D31" s="40" t="inlineStr">
        <is>
          <t>Cambiar</t>
        </is>
      </c>
      <c r="E31" s="41" t="n">
        <v>1</v>
      </c>
      <c r="F31" s="39" t="inlineStr">
        <is>
          <t>pza · each</t>
        </is>
      </c>
      <c r="G31" s="42" t="n">
        <v>250</v>
      </c>
      <c r="H31" s="42" t="n">
        <v>1500</v>
      </c>
      <c r="I31" s="43">
        <f>IF(OR(D31="",D31="OK"),0,N(E31)*IF(D31="Reparar",N(G31),N(H31)))</f>
        <v/>
      </c>
      <c r="J31" s="35">
        <f>IF(B31="","",IF(D31="","SIN ESTADO",IF(D31="OK","",IF(N(E31)&lt;=0,"SIN CANT.",IF(IF(D31="Reparar",N(G31),N(H31))&lt;=0,"SIN PRECIO","")))))</f>
        <v/>
      </c>
      <c r="K31" s="44">
        <f>IF(AND(B31&lt;&gt;"",OR(D31="Reparar",D31="Cambiar"),N(E31)&gt;0),COUNT(K$12:K30)+1,"")</f>
        <v/>
      </c>
      <c r="L31" s="45" t="inlineStr">
        <is>
          <t>EJEMPLO</t>
        </is>
      </c>
    </row>
    <row r="32" ht="18" customHeight="1">
      <c r="A32" s="39" t="inlineStr">
        <is>
          <t>Toda la casa</t>
        </is>
      </c>
      <c r="B32" s="39" t="inlineStr">
        <is>
          <t>Condensador y serpentín de A/C</t>
        </is>
      </c>
      <c r="C32" s="39" t="inlineStr">
        <is>
          <t>AC condenser and coil</t>
        </is>
      </c>
      <c r="D32" s="40" t="inlineStr">
        <is>
          <t>Cambiar</t>
        </is>
      </c>
      <c r="E32" s="41" t="n">
        <v>1</v>
      </c>
      <c r="F32" s="39" t="inlineStr">
        <is>
          <t>pza · each</t>
        </is>
      </c>
      <c r="G32" s="42" t="n">
        <v>450</v>
      </c>
      <c r="H32" s="42" t="n">
        <v>5500</v>
      </c>
      <c r="I32" s="43">
        <f>IF(OR(D32="",D32="OK"),0,N(E32)*IF(D32="Reparar",N(G32),N(H32)))</f>
        <v/>
      </c>
      <c r="J32" s="35">
        <f>IF(B32="","",IF(D32="","SIN ESTADO",IF(D32="OK","",IF(N(E32)&lt;=0,"SIN CANT.",IF(IF(D32="Reparar",N(G32),N(H32))&lt;=0,"SIN PRECIO","")))))</f>
        <v/>
      </c>
      <c r="K32" s="44">
        <f>IF(AND(B32&lt;&gt;"",OR(D32="Reparar",D32="Cambiar"),N(E32)&gt;0),COUNT(K$12:K31)+1,"")</f>
        <v/>
      </c>
      <c r="L32" s="45" t="inlineStr">
        <is>
          <t>EJEMPLO</t>
        </is>
      </c>
    </row>
    <row r="33" ht="18" customHeight="1">
      <c r="A33" s="39" t="inlineStr">
        <is>
          <t>Toda la casa</t>
        </is>
      </c>
      <c r="B33" s="39" t="inlineStr">
        <is>
          <t>Contactos y apagadores</t>
        </is>
      </c>
      <c r="C33" s="39" t="inlineStr">
        <is>
          <t>Outlets and switches</t>
        </is>
      </c>
      <c r="D33" s="40" t="inlineStr">
        <is>
          <t>Cambiar</t>
        </is>
      </c>
      <c r="E33" s="41" t="n">
        <v>36</v>
      </c>
      <c r="F33" s="39" t="inlineStr">
        <is>
          <t>pza · each</t>
        </is>
      </c>
      <c r="G33" s="42" t="n">
        <v>15</v>
      </c>
      <c r="H33" s="42" t="n">
        <v>35</v>
      </c>
      <c r="I33" s="43">
        <f>IF(OR(D33="",D33="OK"),0,N(E33)*IF(D33="Reparar",N(G33),N(H33)))</f>
        <v/>
      </c>
      <c r="J33" s="35">
        <f>IF(B33="","",IF(D33="","SIN ESTADO",IF(D33="OK","",IF(N(E33)&lt;=0,"SIN CANT.",IF(IF(D33="Reparar",N(G33),N(H33))&lt;=0,"SIN PRECIO","")))))</f>
        <v/>
      </c>
      <c r="K33" s="44">
        <f>IF(AND(B33&lt;&gt;"",OR(D33="Reparar",D33="Cambiar"),N(E33)&gt;0),COUNT(K$12:K32)+1,"")</f>
        <v/>
      </c>
      <c r="L33" s="45" t="inlineStr">
        <is>
          <t>EJEMPLO</t>
        </is>
      </c>
    </row>
    <row r="34" ht="18" customHeight="1">
      <c r="A34" s="39" t="inlineStr">
        <is>
          <t>Toda la casa</t>
        </is>
      </c>
      <c r="B34" s="39" t="inlineStr">
        <is>
          <t>Lámparas</t>
        </is>
      </c>
      <c r="C34" s="39" t="inlineStr">
        <is>
          <t>Light fixtures</t>
        </is>
      </c>
      <c r="D34" s="40" t="inlineStr">
        <is>
          <t>Cambiar</t>
        </is>
      </c>
      <c r="E34" s="41" t="n">
        <v>4</v>
      </c>
      <c r="F34" s="39" t="inlineStr">
        <is>
          <t>pza · each</t>
        </is>
      </c>
      <c r="G34" s="42" t="n">
        <v>40</v>
      </c>
      <c r="H34" s="42" t="n">
        <v>120</v>
      </c>
      <c r="I34" s="43">
        <f>IF(OR(D34="",D34="OK"),0,N(E34)*IF(D34="Reparar",N(G34),N(H34)))</f>
        <v/>
      </c>
      <c r="J34" s="35">
        <f>IF(B34="","",IF(D34="","SIN ESTADO",IF(D34="OK","",IF(N(E34)&lt;=0,"SIN CANT.",IF(IF(D34="Reparar",N(G34),N(H34))&lt;=0,"SIN PRECIO","")))))</f>
        <v/>
      </c>
      <c r="K34" s="44">
        <f>IF(AND(B34&lt;&gt;"",OR(D34="Reparar",D34="Cambiar"),N(E34)&gt;0),COUNT(K$12:K33)+1,"")</f>
        <v/>
      </c>
      <c r="L34" s="45" t="inlineStr">
        <is>
          <t>EJEMPLO</t>
        </is>
      </c>
    </row>
    <row r="35" ht="18" customHeight="1">
      <c r="A35" s="39" t="inlineStr">
        <is>
          <t>Toda la casa</t>
        </is>
      </c>
      <c r="B35" s="39" t="inlineStr">
        <is>
          <t>Ventanas</t>
        </is>
      </c>
      <c r="C35" s="39" t="inlineStr">
        <is>
          <t>Windows</t>
        </is>
      </c>
      <c r="D35" s="40" t="inlineStr">
        <is>
          <t>OK</t>
        </is>
      </c>
      <c r="E35" s="41" t="n"/>
      <c r="F35" s="39" t="inlineStr">
        <is>
          <t>pza · each</t>
        </is>
      </c>
      <c r="G35" s="42" t="n">
        <v>120</v>
      </c>
      <c r="H35" s="42" t="n">
        <v>550</v>
      </c>
      <c r="I35" s="43">
        <f>IF(OR(D35="",D35="OK"),0,N(E35)*IF(D35="Reparar",N(G35),N(H35)))</f>
        <v/>
      </c>
      <c r="J35" s="35">
        <f>IF(B35="","",IF(D35="","SIN ESTADO",IF(D35="OK","",IF(N(E35)&lt;=0,"SIN CANT.",IF(IF(D35="Reparar",N(G35),N(H35))&lt;=0,"SIN PRECIO","")))))</f>
        <v/>
      </c>
      <c r="K35" s="44">
        <f>IF(AND(B35&lt;&gt;"",OR(D35="Reparar",D35="Cambiar"),N(E35)&gt;0),COUNT(K$12:K34)+1,"")</f>
        <v/>
      </c>
      <c r="L35" s="45" t="inlineStr">
        <is>
          <t>EJEMPLO</t>
        </is>
      </c>
    </row>
    <row r="36" ht="18" customHeight="1">
      <c r="A36" s="39" t="inlineStr">
        <is>
          <t>Toda la casa</t>
        </is>
      </c>
      <c r="B36" s="39" t="inlineStr">
        <is>
          <t>Detectores de humo y CO</t>
        </is>
      </c>
      <c r="C36" s="39" t="inlineStr">
        <is>
          <t>Smoke and CO detectors</t>
        </is>
      </c>
      <c r="D36" s="40" t="inlineStr">
        <is>
          <t>Cambiar</t>
        </is>
      </c>
      <c r="E36" s="41" t="n">
        <v>5</v>
      </c>
      <c r="F36" s="39" t="inlineStr">
        <is>
          <t>pza · each</t>
        </is>
      </c>
      <c r="G36" s="42" t="n"/>
      <c r="H36" s="42" t="n">
        <v>55</v>
      </c>
      <c r="I36" s="43">
        <f>IF(OR(D36="",D36="OK"),0,N(E36)*IF(D36="Reparar",N(G36),N(H36)))</f>
        <v/>
      </c>
      <c r="J36" s="35">
        <f>IF(B36="","",IF(D36="","SIN ESTADO",IF(D36="OK","",IF(N(E36)&lt;=0,"SIN CANT.",IF(IF(D36="Reparar",N(G36),N(H36))&lt;=0,"SIN PRECIO","")))))</f>
        <v/>
      </c>
      <c r="K36" s="44">
        <f>IF(AND(B36&lt;&gt;"",OR(D36="Reparar",D36="Cambiar"),N(E36)&gt;0),COUNT(K$12:K35)+1,"")</f>
        <v/>
      </c>
      <c r="L36" s="45" t="inlineStr">
        <is>
          <t>EJEMPLO</t>
        </is>
      </c>
    </row>
    <row r="37" ht="18" customHeight="1">
      <c r="A37" s="39" t="n"/>
      <c r="B37" s="39" t="n"/>
      <c r="C37" s="39" t="n"/>
      <c r="D37" s="40" t="n"/>
      <c r="E37" s="41" t="n"/>
      <c r="F37" s="39" t="n"/>
      <c r="G37" s="42" t="n"/>
      <c r="H37" s="42" t="n"/>
      <c r="I37" s="43">
        <f>IF(OR(D37="",D37="OK"),0,N(E37)*IF(D37="Reparar",N(G37),N(H37)))</f>
        <v/>
      </c>
      <c r="J37" s="35">
        <f>IF(B37="","",IF(D37="","SIN ESTADO",IF(D37="OK","",IF(N(E37)&lt;=0,"SIN CANT.",IF(IF(D37="Reparar",N(G37),N(H37))&lt;=0,"SIN PRECIO","")))))</f>
        <v/>
      </c>
      <c r="K37" s="44">
        <f>IF(AND(B37&lt;&gt;"",OR(D37="Reparar",D37="Cambiar"),N(E37)&gt;0),COUNT(K$12:K36)+1,"")</f>
        <v/>
      </c>
    </row>
    <row r="38" ht="18" customHeight="1">
      <c r="A38" s="39" t="n"/>
      <c r="B38" s="39" t="n"/>
      <c r="C38" s="39" t="n"/>
      <c r="D38" s="40" t="n"/>
      <c r="E38" s="41" t="n"/>
      <c r="F38" s="39" t="n"/>
      <c r="G38" s="42" t="n"/>
      <c r="H38" s="42" t="n"/>
      <c r="I38" s="43">
        <f>IF(OR(D38="",D38="OK"),0,N(E38)*IF(D38="Reparar",N(G38),N(H38)))</f>
        <v/>
      </c>
      <c r="J38" s="35">
        <f>IF(B38="","",IF(D38="","SIN ESTADO",IF(D38="OK","",IF(N(E38)&lt;=0,"SIN CANT.",IF(IF(D38="Reparar",N(G38),N(H38))&lt;=0,"SIN PRECIO","")))))</f>
        <v/>
      </c>
      <c r="K38" s="44">
        <f>IF(AND(B38&lt;&gt;"",OR(D38="Reparar",D38="Cambiar"),N(E38)&gt;0),COUNT(K$12:K37)+1,"")</f>
        <v/>
      </c>
    </row>
    <row r="39" ht="18" customHeight="1">
      <c r="A39" s="39" t="n"/>
      <c r="B39" s="39" t="n"/>
      <c r="C39" s="39" t="n"/>
      <c r="D39" s="40" t="n"/>
      <c r="E39" s="41" t="n"/>
      <c r="F39" s="39" t="n"/>
      <c r="G39" s="42" t="n"/>
      <c r="H39" s="42" t="n"/>
      <c r="I39" s="43">
        <f>IF(OR(D39="",D39="OK"),0,N(E39)*IF(D39="Reparar",N(G39),N(H39)))</f>
        <v/>
      </c>
      <c r="J39" s="35">
        <f>IF(B39="","",IF(D39="","SIN ESTADO",IF(D39="OK","",IF(N(E39)&lt;=0,"SIN CANT.",IF(IF(D39="Reparar",N(G39),N(H39))&lt;=0,"SIN PRECIO","")))))</f>
        <v/>
      </c>
      <c r="K39" s="44">
        <f>IF(AND(B39&lt;&gt;"",OR(D39="Reparar",D39="Cambiar"),N(E39)&gt;0),COUNT(K$12:K38)+1,"")</f>
        <v/>
      </c>
    </row>
    <row r="40" ht="18" customHeight="1">
      <c r="A40" s="39" t="n"/>
      <c r="B40" s="39" t="n"/>
      <c r="C40" s="39" t="n"/>
      <c r="D40" s="40" t="n"/>
      <c r="E40" s="41" t="n"/>
      <c r="F40" s="39" t="n"/>
      <c r="G40" s="42" t="n"/>
      <c r="H40" s="42" t="n"/>
      <c r="I40" s="43">
        <f>IF(OR(D40="",D40="OK"),0,N(E40)*IF(D40="Reparar",N(G40),N(H40)))</f>
        <v/>
      </c>
      <c r="J40" s="35">
        <f>IF(B40="","",IF(D40="","SIN ESTADO",IF(D40="OK","",IF(N(E40)&lt;=0,"SIN CANT.",IF(IF(D40="Reparar",N(G40),N(H40))&lt;=0,"SIN PRECIO","")))))</f>
        <v/>
      </c>
      <c r="K40" s="44">
        <f>IF(AND(B40&lt;&gt;"",OR(D40="Reparar",D40="Cambiar"),N(E40)&gt;0),COUNT(K$12:K39)+1,"")</f>
        <v/>
      </c>
    </row>
    <row r="41" ht="18" customHeight="1"/>
    <row r="42" ht="24" customHeight="1">
      <c r="A42" s="6" t="inlineStr">
        <is>
          <t>Toda la obra: permisos, contenedor, limpieza. Escribe la cantidad; 0 la deja fuera.</t>
        </is>
      </c>
      <c r="B42" s="7" t="n"/>
      <c r="C42" s="7" t="n"/>
      <c r="D42" s="7" t="n"/>
      <c r="E42" s="7" t="n"/>
      <c r="F42" s="7" t="n"/>
      <c r="G42" s="7" t="n"/>
      <c r="H42" s="7" t="n"/>
      <c r="I42" s="7" t="n"/>
      <c r="J42" s="7" t="n"/>
      <c r="K42" s="7" t="n"/>
      <c r="L42" s="7" t="n"/>
    </row>
    <row r="43" ht="40" customHeight="1">
      <c r="A43" s="36" t="inlineStr">
        <is>
          <t>Área</t>
        </is>
      </c>
      <c r="B43" s="36" t="inlineStr">
        <is>
          <t>Partida</t>
        </is>
      </c>
      <c r="C43" s="36" t="inlineStr">
        <is>
          <t>Partida en inglés</t>
        </is>
      </c>
      <c r="D43" s="37" t="inlineStr"/>
      <c r="E43" s="38" t="inlineStr">
        <is>
          <t>Cant.</t>
        </is>
      </c>
      <c r="F43" s="36" t="inlineStr">
        <is>
          <t>Unidad · en inglés</t>
        </is>
      </c>
      <c r="G43" s="37" t="inlineStr"/>
      <c r="H43" s="38" t="inlineStr">
        <is>
          <t>Cambiar o nuevo, por unidad</t>
        </is>
      </c>
      <c r="I43" s="38" t="inlineStr">
        <is>
          <t>Total</t>
        </is>
      </c>
      <c r="J43" s="37" t="inlineStr">
        <is>
          <t>Revisión</t>
        </is>
      </c>
      <c r="K43" s="37" t="inlineStr">
        <is>
          <t># en alcance</t>
        </is>
      </c>
      <c r="L43" s="37" t="inlineStr"/>
    </row>
    <row r="44" ht="18" customHeight="1">
      <c r="A44" s="46" t="inlineStr">
        <is>
          <t>Toda la obra · Whole job</t>
        </is>
      </c>
      <c r="B44" s="39" t="inlineStr">
        <is>
          <t>Permiso de construcción</t>
        </is>
      </c>
      <c r="C44" s="39" t="inlineStr">
        <is>
          <t>Building permit</t>
        </is>
      </c>
      <c r="D44" s="35" t="inlineStr">
        <is>
          <t>n/a</t>
        </is>
      </c>
      <c r="E44" s="41" t="n">
        <v>1</v>
      </c>
      <c r="F44" s="39" t="inlineStr">
        <is>
          <t>pza · each</t>
        </is>
      </c>
      <c r="G44" s="35" t="inlineStr">
        <is>
          <t>n/a</t>
        </is>
      </c>
      <c r="H44" s="42" t="n">
        <v>600</v>
      </c>
      <c r="I44" s="43">
        <f>N(E44)*N(H44)</f>
        <v/>
      </c>
      <c r="J44" s="35">
        <f>IF(OR(B44="",N(E44)&lt;=0),"",IF(N(H44)&lt;=0,"SIN PRECIO",""))</f>
        <v/>
      </c>
      <c r="K44" s="44">
        <f>IF(AND(B44&lt;&gt;"",N(E44)&gt;0),COUNT(K$12:K43)+1,"")</f>
        <v/>
      </c>
      <c r="L44" s="45" t="inlineStr">
        <is>
          <t>EJEMPLO</t>
        </is>
      </c>
    </row>
    <row r="45" ht="18" customHeight="1">
      <c r="A45" s="46" t="inlineStr">
        <is>
          <t>Toda la obra · Whole job</t>
        </is>
      </c>
      <c r="B45" s="39" t="inlineStr">
        <is>
          <t>Contenedor</t>
        </is>
      </c>
      <c r="C45" s="39" t="inlineStr">
        <is>
          <t>Dumpster</t>
        </is>
      </c>
      <c r="D45" s="35" t="inlineStr">
        <is>
          <t>n/a</t>
        </is>
      </c>
      <c r="E45" s="41" t="n">
        <v>2</v>
      </c>
      <c r="F45" s="39" t="inlineStr">
        <is>
          <t>viaje · haul</t>
        </is>
      </c>
      <c r="G45" s="35" t="inlineStr">
        <is>
          <t>n/a</t>
        </is>
      </c>
      <c r="H45" s="42" t="n">
        <v>450</v>
      </c>
      <c r="I45" s="43">
        <f>N(E45)*N(H45)</f>
        <v/>
      </c>
      <c r="J45" s="35">
        <f>IF(OR(B45="",N(E45)&lt;=0),"",IF(N(H45)&lt;=0,"SIN PRECIO",""))</f>
        <v/>
      </c>
      <c r="K45" s="44">
        <f>IF(AND(B45&lt;&gt;"",N(E45)&gt;0),COUNT(K$12:K44)+1,"")</f>
        <v/>
      </c>
      <c r="L45" s="45" t="inlineStr">
        <is>
          <t>EJEMPLO</t>
        </is>
      </c>
    </row>
    <row r="46" ht="18" customHeight="1">
      <c r="A46" s="46" t="inlineStr">
        <is>
          <t>Toda la obra · Whole job</t>
        </is>
      </c>
      <c r="B46" s="39" t="inlineStr">
        <is>
          <t>Limpieza final</t>
        </is>
      </c>
      <c r="C46" s="39" t="inlineStr">
        <is>
          <t>Final clean</t>
        </is>
      </c>
      <c r="D46" s="35" t="inlineStr">
        <is>
          <t>n/a</t>
        </is>
      </c>
      <c r="E46" s="41" t="n">
        <v>1</v>
      </c>
      <c r="F46" s="39" t="inlineStr">
        <is>
          <t>pza · each</t>
        </is>
      </c>
      <c r="G46" s="35" t="inlineStr">
        <is>
          <t>n/a</t>
        </is>
      </c>
      <c r="H46" s="42" t="n">
        <v>450</v>
      </c>
      <c r="I46" s="43">
        <f>N(E46)*N(H46)</f>
        <v/>
      </c>
      <c r="J46" s="35">
        <f>IF(OR(B46="",N(E46)&lt;=0),"",IF(N(H46)&lt;=0,"SIN PRECIO",""))</f>
        <v/>
      </c>
      <c r="K46" s="44">
        <f>IF(AND(B46&lt;&gt;"",N(E46)&gt;0),COUNT(K$12:K45)+1,"")</f>
        <v/>
      </c>
      <c r="L46" s="45" t="inlineStr">
        <is>
          <t>EJEMPLO</t>
        </is>
      </c>
    </row>
    <row r="47" ht="18" customHeight="1">
      <c r="A47" s="46" t="inlineStr">
        <is>
          <t>Toda la obra · Whole job</t>
        </is>
      </c>
      <c r="B47" s="39" t="n"/>
      <c r="C47" s="39" t="n"/>
      <c r="D47" s="35" t="inlineStr">
        <is>
          <t>n/a</t>
        </is>
      </c>
      <c r="E47" s="41" t="n"/>
      <c r="F47" s="39" t="n"/>
      <c r="G47" s="35" t="inlineStr">
        <is>
          <t>n/a</t>
        </is>
      </c>
      <c r="H47" s="42" t="n"/>
      <c r="I47" s="43">
        <f>N(E47)*N(H47)</f>
        <v/>
      </c>
      <c r="J47" s="35">
        <f>IF(OR(B47="",N(E47)&lt;=0),"",IF(N(H47)&lt;=0,"SIN PRECIO",""))</f>
        <v/>
      </c>
      <c r="K47" s="44">
        <f>IF(AND(B47&lt;&gt;"",N(E47)&gt;0),COUNT(K$12:K46)+1,"")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4">
    <mergeCell ref="G6:I6"/>
    <mergeCell ref="A3:L3"/>
    <mergeCell ref="A2:L2"/>
    <mergeCell ref="G5:J5"/>
  </mergeCells>
  <conditionalFormatting sqref="J9">
    <cfRule type="cellIs" priority="1" operator="equal" dxfId="0">
      <formula>"OK"</formula>
    </cfRule>
    <cfRule type="cellIs" priority="2" operator="equal" dxfId="1">
      <formula>"REVISA"</formula>
    </cfRule>
  </conditionalFormatting>
  <conditionalFormatting sqref="J13:J47">
    <cfRule type="cellIs" priority="3" operator="equal" dxfId="1">
      <formula>"SIN CANT."</formula>
    </cfRule>
    <cfRule type="cellIs" priority="4" operator="equal" dxfId="1">
      <formula>"SIN ESTADO"</formula>
    </cfRule>
    <cfRule type="cellIs" priority="5" operator="equal" dxfId="2">
      <formula>"SIN PRECIO"</formula>
    </cfRule>
  </conditionalFormatting>
  <dataValidations count="4">
    <dataValidation sqref="A13:A40" showDropDown="0" showInputMessage="1" showErrorMessage="1" allowBlank="1" errorTitle="Elige de la lista" error="Elige un valor de la lista." promptTitle="Área" prompt="Elige el cuarto o área. Agrega o cambia áreas en la columna N." type="list">
      <formula1>=$N$13:$N$20</formula1>
    </dataValidation>
    <dataValidation sqref="D13:D40" showDropDown="0" showInputMessage="1" showErrorMessage="1" allowBlank="1" errorTitle="Elige de la lista" error="Elige un valor de la lista." promptTitle="Estado" prompt="OK no cuesta. Reparar usa el precio de reparar, Cambiar el de cambiar." type="list">
      <formula1>"OK,Reparar,Cambiar"</formula1>
    </dataValidation>
    <dataValidation sqref="C13:C40 C44:C47" showDropDown="0" showInputMessage="1" showErrorMessage="0" allowBlank="1" promptTitle="Partida en inglés" prompt="La misma partida en inglés. Sale junto al español en el Alcance de obra."/>
    <dataValidation sqref="G13:H40 H44:H47" showDropDown="0" showInputMessage="1" showErrorMessage="0" allowBlank="1" promptTitle="Precio unitario" prompt="Tu precio o el de tu contratista por unidad, instalado. Cada precio aquí es un EJEMPLO."/>
  </dataValidations>
  <printOptions horizontalCentered="1"/>
  <pageMargins left="0.4" right="0.4" top="0.5" bottom="0.5" header="0.5" footer="0.5"/>
  <pageSetup orientation="landscape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41" min="0" max="16383" man="1"/>
  </rowBreaks>
</worksheet>
</file>

<file path=xl/worksheets/sheet3.xml><?xml version="1.0" encoding="utf-8"?>
<worksheet xmlns="http://schemas.openxmlformats.org/spreadsheetml/2006/main">
  <sheetPr>
    <tabColor rgb="00121417"/>
    <outlinePr summaryBelow="1" summaryRight="1"/>
    <pageSetUpPr fitToPage="1"/>
  </sheetPr>
  <dimension ref="A1:H29"/>
  <sheetViews>
    <sheetView showGridLines="0" zoomScale="10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34" customWidth="1" min="1" max="1"/>
    <col width="9" customWidth="1" min="2" max="2"/>
    <col width="15" customWidth="1" min="3" max="3"/>
    <col width="15" customWidth="1" min="4" max="4"/>
    <col width="15" customWidth="1" min="5" max="5"/>
    <col width="15" customWidth="1" min="6" max="6"/>
    <col width="11" customWidth="1" min="7" max="7"/>
    <col width="10" customWidth="1" min="8" max="8"/>
  </cols>
  <sheetData>
    <row r="1" ht="30" customHeight="1">
      <c r="A1" s="23" t="inlineStr">
        <is>
          <t>Presupuesto</t>
        </is>
      </c>
      <c r="B1" s="23" t="n"/>
      <c r="C1" s="23" t="n"/>
      <c r="D1" s="23" t="n"/>
      <c r="E1" s="23" t="n"/>
      <c r="F1" s="23" t="n"/>
      <c r="G1" s="23" t="n"/>
      <c r="H1" s="24" t="inlineStr">
        <is>
          <t>Built by Estrada</t>
        </is>
      </c>
    </row>
    <row r="2" ht="20" customHeight="1">
      <c r="A2" s="15" t="inlineStr">
        <is>
          <t>Tu presupuesto de obra con el Recorrido: bajo, probable y alto, por área, con el costo por pie².</t>
        </is>
      </c>
    </row>
    <row r="3" ht="18" customHeight="1"/>
    <row r="4" ht="24" customHeight="1">
      <c r="A4" s="6" t="inlineStr">
        <is>
          <t>El presupuesto</t>
        </is>
      </c>
      <c r="B4" s="7" t="n"/>
      <c r="C4" s="7" t="n"/>
      <c r="D4" s="7" t="n"/>
      <c r="E4" s="7" t="n"/>
      <c r="F4" s="7" t="n"/>
      <c r="G4" s="7" t="n"/>
      <c r="H4" s="7" t="n"/>
    </row>
    <row r="5" ht="18" customHeight="1">
      <c r="A5" s="37" t="inlineStr"/>
      <c r="B5" s="36" t="n"/>
      <c r="C5" s="38" t="inlineStr">
        <is>
          <t>Tus precios</t>
        </is>
      </c>
      <c r="D5" s="38" t="inlineStr">
        <is>
          <t>Bajo</t>
        </is>
      </c>
      <c r="E5" s="38" t="inlineStr">
        <is>
          <t>Probable</t>
        </is>
      </c>
      <c r="F5" s="38" t="inlineStr">
        <is>
          <t>Alto</t>
        </is>
      </c>
    </row>
    <row r="6" ht="28" customHeight="1">
      <c r="A6" s="28" t="inlineStr">
        <is>
          <t>Presupuesto de obra</t>
        </is>
      </c>
      <c r="C6" s="43">
        <f>'Recorrido'!$G$6</f>
        <v/>
      </c>
      <c r="D6" s="47">
        <f>C6</f>
        <v/>
      </c>
      <c r="E6" s="30">
        <f>C6*(1+E11)</f>
        <v/>
      </c>
      <c r="F6" s="47">
        <f>C6*(1+E12)*(1+E11)</f>
        <v/>
      </c>
    </row>
    <row r="7" ht="18" customHeight="1">
      <c r="A7" s="25" t="inlineStr">
        <is>
          <t>Por pie² habitable</t>
        </is>
      </c>
      <c r="C7" s="48">
        <f>IF(N($E$13)&gt;0,C6/$E$13,0)</f>
        <v/>
      </c>
      <c r="D7" s="48">
        <f>IF(N($E$13)&gt;0,D6/$E$13,0)</f>
        <v/>
      </c>
      <c r="E7" s="48">
        <f>IF(N($E$13)&gt;0,E6/$E$13,0)</f>
        <v/>
      </c>
      <c r="F7" s="48">
        <f>IF(N($E$13)&gt;0,F6/$E$13,0)</f>
        <v/>
      </c>
    </row>
    <row r="8" ht="29" customHeight="1">
      <c r="A8" s="22" t="inlineStr">
        <is>
          <t>Bajo: tus precios se sostienen y no aparece nada detrás de los muros. Probable: tus precios más la contingencia. Alto: las cotizaciones salen arriba de tus precios por el margen de abajo, más la contingencia.</t>
        </is>
      </c>
    </row>
    <row r="9" ht="18" customHeight="1"/>
    <row r="10" ht="24" customHeight="1">
      <c r="A10" s="6" t="inlineStr">
        <is>
          <t>Ajustes</t>
        </is>
      </c>
      <c r="B10" s="7" t="n"/>
      <c r="C10" s="7" t="n"/>
      <c r="D10" s="7" t="n"/>
      <c r="E10" s="7" t="n"/>
      <c r="F10" s="7" t="n"/>
      <c r="G10" s="7" t="n"/>
      <c r="H10" s="7" t="n"/>
    </row>
    <row r="11" ht="18" customHeight="1">
      <c r="A11" s="28" t="inlineStr">
        <is>
          <t>Contingencia</t>
        </is>
      </c>
      <c r="E11" s="49" t="n">
        <v>0.15</v>
      </c>
      <c r="F11" s="45" t="inlineStr">
        <is>
          <t>EJEMPLO</t>
        </is>
      </c>
    </row>
    <row r="12" ht="18" customHeight="1">
      <c r="A12" s="25" t="inlineStr">
        <is>
          <t>Caso alto: cotizaciones arriba de tus precios por</t>
        </is>
      </c>
      <c r="E12" s="49" t="n">
        <v>0.15</v>
      </c>
      <c r="F12" s="45" t="inlineStr">
        <is>
          <t>EJEMPLO</t>
        </is>
      </c>
    </row>
    <row r="13" ht="18" customHeight="1">
      <c r="A13" s="25" t="inlineStr">
        <is>
          <t>Área habitable, pie² (del Recorrido)</t>
        </is>
      </c>
      <c r="E13" s="34">
        <f>'Recorrido'!$B$8</f>
        <v/>
      </c>
    </row>
    <row r="14" ht="18" customHeight="1"/>
    <row r="15" ht="24" customHeight="1">
      <c r="A15" s="6" t="inlineStr">
        <is>
          <t>Por área</t>
        </is>
      </c>
      <c r="B15" s="7" t="n"/>
      <c r="C15" s="7" t="n"/>
      <c r="D15" s="7" t="n"/>
      <c r="E15" s="7" t="n"/>
      <c r="F15" s="7" t="n"/>
      <c r="G15" s="7" t="n"/>
      <c r="H15" s="7" t="n"/>
    </row>
    <row r="16" ht="18" customHeight="1">
      <c r="A16" s="36" t="inlineStr">
        <is>
          <t>Área</t>
        </is>
      </c>
      <c r="B16" s="38" t="inlineStr">
        <is>
          <t>Líneas</t>
        </is>
      </c>
      <c r="C16" s="38" t="inlineStr">
        <is>
          <t>Tus precios</t>
        </is>
      </c>
      <c r="D16" s="38" t="inlineStr">
        <is>
          <t>Bajo</t>
        </is>
      </c>
      <c r="E16" s="38" t="inlineStr">
        <is>
          <t>Probable</t>
        </is>
      </c>
      <c r="F16" s="38" t="inlineStr">
        <is>
          <t>Alto</t>
        </is>
      </c>
      <c r="G16" s="38" t="inlineStr">
        <is>
          <t>Parte</t>
        </is>
      </c>
    </row>
    <row r="17" ht="18" customHeight="1">
      <c r="A17" s="46">
        <f>IF('Recorrido'!$N$13="","",'Recorrido'!$N$13)</f>
        <v/>
      </c>
      <c r="B17" s="34">
        <f>IF(A17="","",COUNTIFS('Recorrido'!$A$13:$A$47,A17,'Recorrido'!$I$13:$I$47,"&gt;0"))</f>
        <v/>
      </c>
      <c r="C17" s="43">
        <f>IF(A17="","",SUMIFS('Recorrido'!$I$13:$I$47,'Recorrido'!$A$13:$A$47,A17))</f>
        <v/>
      </c>
      <c r="D17" s="43">
        <f>IF(A17="","",N(C17))</f>
        <v/>
      </c>
      <c r="E17" s="43">
        <f>IF(A17="","",N(C17)*(1+$E$11))</f>
        <v/>
      </c>
      <c r="F17" s="43">
        <f>IF(A17="","",N(C17)*(1+$E$12)*(1+$E$11))</f>
        <v/>
      </c>
      <c r="G17" s="50">
        <f>IF(OR(A17="",N($E$26)&lt;=0),"",N(E17)/$E$26)</f>
        <v/>
      </c>
    </row>
    <row r="18" ht="18" customHeight="1">
      <c r="A18" s="46">
        <f>IF('Recorrido'!$N$14="","",'Recorrido'!$N$14)</f>
        <v/>
      </c>
      <c r="B18" s="34">
        <f>IF(A18="","",COUNTIFS('Recorrido'!$A$13:$A$47,A18,'Recorrido'!$I$13:$I$47,"&gt;0"))</f>
        <v/>
      </c>
      <c r="C18" s="43">
        <f>IF(A18="","",SUMIFS('Recorrido'!$I$13:$I$47,'Recorrido'!$A$13:$A$47,A18))</f>
        <v/>
      </c>
      <c r="D18" s="43">
        <f>IF(A18="","",N(C18))</f>
        <v/>
      </c>
      <c r="E18" s="43">
        <f>IF(A18="","",N(C18)*(1+$E$11))</f>
        <v/>
      </c>
      <c r="F18" s="43">
        <f>IF(A18="","",N(C18)*(1+$E$12)*(1+$E$11))</f>
        <v/>
      </c>
      <c r="G18" s="50">
        <f>IF(OR(A18="",N($E$26)&lt;=0),"",N(E18)/$E$26)</f>
        <v/>
      </c>
    </row>
    <row r="19" ht="18" customHeight="1">
      <c r="A19" s="46">
        <f>IF('Recorrido'!$N$15="","",'Recorrido'!$N$15)</f>
        <v/>
      </c>
      <c r="B19" s="34">
        <f>IF(A19="","",COUNTIFS('Recorrido'!$A$13:$A$47,A19,'Recorrido'!$I$13:$I$47,"&gt;0"))</f>
        <v/>
      </c>
      <c r="C19" s="43">
        <f>IF(A19="","",SUMIFS('Recorrido'!$I$13:$I$47,'Recorrido'!$A$13:$A$47,A19))</f>
        <v/>
      </c>
      <c r="D19" s="43">
        <f>IF(A19="","",N(C19))</f>
        <v/>
      </c>
      <c r="E19" s="43">
        <f>IF(A19="","",N(C19)*(1+$E$11))</f>
        <v/>
      </c>
      <c r="F19" s="43">
        <f>IF(A19="","",N(C19)*(1+$E$12)*(1+$E$11))</f>
        <v/>
      </c>
      <c r="G19" s="50">
        <f>IF(OR(A19="",N($E$26)&lt;=0),"",N(E19)/$E$26)</f>
        <v/>
      </c>
    </row>
    <row r="20" ht="18" customHeight="1">
      <c r="A20" s="46">
        <f>IF('Recorrido'!$N$16="","",'Recorrido'!$N$16)</f>
        <v/>
      </c>
      <c r="B20" s="34">
        <f>IF(A20="","",COUNTIFS('Recorrido'!$A$13:$A$47,A20,'Recorrido'!$I$13:$I$47,"&gt;0"))</f>
        <v/>
      </c>
      <c r="C20" s="43">
        <f>IF(A20="","",SUMIFS('Recorrido'!$I$13:$I$47,'Recorrido'!$A$13:$A$47,A20))</f>
        <v/>
      </c>
      <c r="D20" s="43">
        <f>IF(A20="","",N(C20))</f>
        <v/>
      </c>
      <c r="E20" s="43">
        <f>IF(A20="","",N(C20)*(1+$E$11))</f>
        <v/>
      </c>
      <c r="F20" s="43">
        <f>IF(A20="","",N(C20)*(1+$E$12)*(1+$E$11))</f>
        <v/>
      </c>
      <c r="G20" s="50">
        <f>IF(OR(A20="",N($E$26)&lt;=0),"",N(E20)/$E$26)</f>
        <v/>
      </c>
    </row>
    <row r="21" ht="18" customHeight="1">
      <c r="A21" s="46">
        <f>IF('Recorrido'!$N$17="","",'Recorrido'!$N$17)</f>
        <v/>
      </c>
      <c r="B21" s="34">
        <f>IF(A21="","",COUNTIFS('Recorrido'!$A$13:$A$47,A21,'Recorrido'!$I$13:$I$47,"&gt;0"))</f>
        <v/>
      </c>
      <c r="C21" s="43">
        <f>IF(A21="","",SUMIFS('Recorrido'!$I$13:$I$47,'Recorrido'!$A$13:$A$47,A21))</f>
        <v/>
      </c>
      <c r="D21" s="43">
        <f>IF(A21="","",N(C21))</f>
        <v/>
      </c>
      <c r="E21" s="43">
        <f>IF(A21="","",N(C21)*(1+$E$11))</f>
        <v/>
      </c>
      <c r="F21" s="43">
        <f>IF(A21="","",N(C21)*(1+$E$12)*(1+$E$11))</f>
        <v/>
      </c>
      <c r="G21" s="50">
        <f>IF(OR(A21="",N($E$26)&lt;=0),"",N(E21)/$E$26)</f>
        <v/>
      </c>
    </row>
    <row r="22" ht="18" customHeight="1">
      <c r="A22" s="46">
        <f>IF('Recorrido'!$N$18="","",'Recorrido'!$N$18)</f>
        <v/>
      </c>
      <c r="B22" s="34">
        <f>IF(A22="","",COUNTIFS('Recorrido'!$A$13:$A$47,A22,'Recorrido'!$I$13:$I$47,"&gt;0"))</f>
        <v/>
      </c>
      <c r="C22" s="43">
        <f>IF(A22="","",SUMIFS('Recorrido'!$I$13:$I$47,'Recorrido'!$A$13:$A$47,A22))</f>
        <v/>
      </c>
      <c r="D22" s="43">
        <f>IF(A22="","",N(C22))</f>
        <v/>
      </c>
      <c r="E22" s="43">
        <f>IF(A22="","",N(C22)*(1+$E$11))</f>
        <v/>
      </c>
      <c r="F22" s="43">
        <f>IF(A22="","",N(C22)*(1+$E$12)*(1+$E$11))</f>
        <v/>
      </c>
      <c r="G22" s="50">
        <f>IF(OR(A22="",N($E$26)&lt;=0),"",N(E22)/$E$26)</f>
        <v/>
      </c>
    </row>
    <row r="23" ht="18" customHeight="1">
      <c r="A23" s="46">
        <f>IF('Recorrido'!$N$19="","",'Recorrido'!$N$19)</f>
        <v/>
      </c>
      <c r="B23" s="34">
        <f>IF(A23="","",COUNTIFS('Recorrido'!$A$13:$A$47,A23,'Recorrido'!$I$13:$I$47,"&gt;0"))</f>
        <v/>
      </c>
      <c r="C23" s="43">
        <f>IF(A23="","",SUMIFS('Recorrido'!$I$13:$I$47,'Recorrido'!$A$13:$A$47,A23))</f>
        <v/>
      </c>
      <c r="D23" s="43">
        <f>IF(A23="","",N(C23))</f>
        <v/>
      </c>
      <c r="E23" s="43">
        <f>IF(A23="","",N(C23)*(1+$E$11))</f>
        <v/>
      </c>
      <c r="F23" s="43">
        <f>IF(A23="","",N(C23)*(1+$E$12)*(1+$E$11))</f>
        <v/>
      </c>
      <c r="G23" s="50">
        <f>IF(OR(A23="",N($E$26)&lt;=0),"",N(E23)/$E$26)</f>
        <v/>
      </c>
    </row>
    <row r="24" ht="18" customHeight="1">
      <c r="A24" s="46">
        <f>IF('Recorrido'!$N$20="","",'Recorrido'!$N$20)</f>
        <v/>
      </c>
      <c r="B24" s="34">
        <f>IF(A24="","",COUNTIFS('Recorrido'!$A$13:$A$47,A24,'Recorrido'!$I$13:$I$47,"&gt;0"))</f>
        <v/>
      </c>
      <c r="C24" s="43">
        <f>IF(A24="","",SUMIFS('Recorrido'!$I$13:$I$47,'Recorrido'!$A$13:$A$47,A24))</f>
        <v/>
      </c>
      <c r="D24" s="43">
        <f>IF(A24="","",N(C24))</f>
        <v/>
      </c>
      <c r="E24" s="43">
        <f>IF(A24="","",N(C24)*(1+$E$11))</f>
        <v/>
      </c>
      <c r="F24" s="43">
        <f>IF(A24="","",N(C24)*(1+$E$12)*(1+$E$11))</f>
        <v/>
      </c>
      <c r="G24" s="50">
        <f>IF(OR(A24="",N($E$26)&lt;=0),"",N(E24)/$E$26)</f>
        <v/>
      </c>
    </row>
    <row r="25" ht="18" customHeight="1">
      <c r="A25" s="46" t="inlineStr">
        <is>
          <t>Toda la obra · Whole job</t>
        </is>
      </c>
      <c r="B25" s="34">
        <f>IF(A25="","",COUNTIFS('Recorrido'!$A$13:$A$47,A25,'Recorrido'!$I$13:$I$47,"&gt;0"))</f>
        <v/>
      </c>
      <c r="C25" s="43">
        <f>IF(A25="","",SUMIFS('Recorrido'!$I$13:$I$47,'Recorrido'!$A$13:$A$47,A25))</f>
        <v/>
      </c>
      <c r="D25" s="43">
        <f>IF(A25="","",N(C25))</f>
        <v/>
      </c>
      <c r="E25" s="43">
        <f>IF(A25="","",N(C25)*(1+$E$11))</f>
        <v/>
      </c>
      <c r="F25" s="43">
        <f>IF(A25="","",N(C25)*(1+$E$12)*(1+$E$11))</f>
        <v/>
      </c>
      <c r="G25" s="50">
        <f>IF(OR(A25="",N($E$26)&lt;=0),"",N(E25)/$E$26)</f>
        <v/>
      </c>
    </row>
    <row r="26" ht="18" customHeight="1">
      <c r="A26" s="28" t="inlineStr">
        <is>
          <t>Total</t>
        </is>
      </c>
      <c r="B26" s="51">
        <f>SUM(B17:B25)</f>
        <v/>
      </c>
      <c r="C26" s="47">
        <f>C6</f>
        <v/>
      </c>
      <c r="D26" s="47">
        <f>D6</f>
        <v/>
      </c>
      <c r="E26" s="47">
        <f>E6</f>
        <v/>
      </c>
      <c r="F26" s="47">
        <f>F6</f>
        <v/>
      </c>
      <c r="G26" s="52">
        <f>SUM(G17:G25)</f>
        <v/>
      </c>
    </row>
    <row r="27" ht="18" customHeight="1">
      <c r="A27" s="22" t="inlineStr">
        <is>
          <t>Las líneas sin área solo cuentan en el total.</t>
        </is>
      </c>
    </row>
    <row r="28" ht="18" customHeight="1"/>
    <row r="29" ht="18" customHeight="1">
      <c r="A29" s="25" t="inlineStr">
        <is>
          <t>Líneas del Recorrido para revisar</t>
        </is>
      </c>
      <c r="C29" s="34">
        <f>'Recorrido'!$I$9</f>
        <v/>
      </c>
      <c r="D29" s="35">
        <f>IF(C29&gt;0,"REVISA","OK")</f>
        <v/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2">
    <mergeCell ref="A8:H8"/>
    <mergeCell ref="A2:H2"/>
  </mergeCells>
  <conditionalFormatting sqref="D29">
    <cfRule type="cellIs" priority="1" operator="equal" dxfId="0">
      <formula>"OK"</formula>
    </cfRule>
    <cfRule type="cellIs" priority="2" operator="equal" dxfId="1">
      <formula>"REVISA"</formula>
    </cfRule>
  </conditionalFormatting>
  <dataValidations count="1">
    <dataValidation sqref="E11" showDropDown="0" showInputMessage="1" showErrorMessage="0" allowBlank="1" promptTitle="Contingencia" prompt="Para lo que aparece al abrir los muros: cimentación, techo, plomería, cableado, termitas. Súbela en casas viejas."/>
  </dataValidation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121417"/>
    <outlinePr summaryBelow="1" summaryRight="1"/>
    <pageSetUpPr fitToPage="1"/>
  </sheetPr>
  <dimension ref="A1:H46"/>
  <sheetViews>
    <sheetView showGridLines="0" zoomScale="10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2" customWidth="1" min="2" max="2"/>
    <col width="36" customWidth="1" min="3" max="3"/>
    <col width="38" customWidth="1" min="4" max="4"/>
    <col width="8" customWidth="1" min="5" max="5"/>
    <col width="18" customWidth="1" min="6" max="6"/>
    <col width="2" customWidth="1" min="7" max="7"/>
    <col width="12" customWidth="1" min="8" max="8"/>
  </cols>
  <sheetData>
    <row r="1" ht="18" customHeight="1">
      <c r="A1" s="28" t="inlineStr">
        <is>
          <t>Las líneas Reparar o Cambiar con cantidad salen aquí, en inglés y español.</t>
        </is>
      </c>
    </row>
    <row r="2" ht="18" customHeight="1">
      <c r="A2" s="22">
        <f>"Líneas de trabajo: "&amp;COUNT('Recorrido'!$K$13:$K$47)&amp;IF(MAX(1,1+ROUNDUP(MAX(0,COUNT('Recorrido'!$K$13:$K$47)-26)/31,0))=1,". Caben en la página impresa 1: imprime esa página.",". Ocupan las páginas impresas 1 a "&amp;MAX(1,1+ROUNDUP(MAX(0,COUNT('Recorrido'!$K$13:$K$47)-26)/31,0))&amp;": imprime esas páginas.")</f>
        <v/>
      </c>
    </row>
    <row r="3" ht="8" customHeight="1"/>
    <row r="4" ht="32" customHeight="1">
      <c r="A4" s="53" t="inlineStr">
        <is>
          <t>Alcance de obra · Scope of Work</t>
        </is>
      </c>
      <c r="D4" s="54">
        <f>"Preparado por · Prepared by: "&amp;'Recorrido'!$B$7</f>
        <v/>
      </c>
    </row>
    <row r="5" ht="18" customHeight="1">
      <c r="A5" s="28">
        <f>"Propiedad · Property: "&amp;'Recorrido'!$B$5</f>
        <v/>
      </c>
      <c r="D5" s="54" t="inlineStr">
        <is>
          <t>Fecha · Date</t>
        </is>
      </c>
      <c r="E5" s="55">
        <f>'Recorrido'!$B$6</f>
        <v/>
      </c>
    </row>
    <row r="6" ht="18" customHeight="1">
      <c r="A6" s="25">
        <f>"Área habitable · Living area: "&amp;'Recorrido'!$B$8&amp;" sq ft · pie²"</f>
        <v/>
      </c>
    </row>
    <row r="7" ht="18" customHeight="1"/>
    <row r="8" ht="26" customHeight="1">
      <c r="A8" s="56" t="inlineStr">
        <is>
          <t>1.</t>
        </is>
      </c>
      <c r="B8" s="57" t="inlineStr">
        <is>
          <t>Cotiza cada línea. Dinos qué no incluyes.</t>
        </is>
      </c>
      <c r="D8" s="57" t="inlineStr">
        <is>
          <t>Quote every line. Tell us what you are leaving out.</t>
        </is>
      </c>
    </row>
    <row r="9" ht="26" customHeight="1">
      <c r="A9" s="56" t="inlineStr">
        <is>
          <t>2.</t>
        </is>
      </c>
      <c r="B9" s="57" t="inlineStr">
        <is>
          <t>El trabajo que no está en esta lista necesita un OK por escrito antes de empezar.</t>
        </is>
      </c>
      <c r="D9" s="57" t="inlineStr">
        <is>
          <t>Work that is not on this list needs a written OK before it starts.</t>
        </is>
      </c>
    </row>
    <row r="10" ht="26" customHeight="1">
      <c r="A10" s="56" t="inlineStr">
        <is>
          <t>3.</t>
        </is>
      </c>
      <c r="B10" s="57" t="inlineStr">
        <is>
          <t>Saca los permisos que pida la ciudad. Deja la obra limpia cada día.</t>
        </is>
      </c>
      <c r="D10" s="57" t="inlineStr">
        <is>
          <t>Pull the permits the city asks for. Leave the site clean every day.</t>
        </is>
      </c>
    </row>
    <row r="11" ht="8" customHeight="1"/>
    <row r="12" ht="30" customHeight="1">
      <c r="A12" s="37" t="inlineStr">
        <is>
          <t>#</t>
        </is>
      </c>
      <c r="B12" s="36" t="inlineStr">
        <is>
          <t>Área · Area</t>
        </is>
      </c>
      <c r="C12" s="36" t="inlineStr">
        <is>
          <t>Trabajo (español)</t>
        </is>
      </c>
      <c r="D12" s="36" t="inlineStr">
        <is>
          <t>Work (English)</t>
        </is>
      </c>
      <c r="E12" s="38" t="inlineStr">
        <is>
          <t>Cant. · Qty</t>
        </is>
      </c>
      <c r="F12" s="36" t="inlineStr">
        <is>
          <t>Unidad · Unit</t>
        </is>
      </c>
      <c r="H12" s="37" t="inlineStr">
        <is>
          <t>Fila del recorrido</t>
        </is>
      </c>
    </row>
    <row r="13" ht="26" customHeight="1">
      <c r="A13" s="58">
        <f>IF($H13="","",1)</f>
        <v/>
      </c>
      <c r="B13" s="59">
        <f>IF($H13="","",INDEX('Recorrido'!$A$13:$A$47,$H13)&amp;IFERROR(" · "&amp;INDEX('Recorrido'!$O$13:$O$20,MATCH(INDEX('Recorrido'!$A$13:$A$47,$H13),'Recorrido'!$N$13:$N$20,0)),""))</f>
        <v/>
      </c>
      <c r="C13" s="59">
        <f>IF($H13="","",IF(INDEX('Recorrido'!$D$13:$D$47,$H13)="Reparar","Reparar: ",IF(INDEX('Recorrido'!$D$13:$D$47,$H13)="Cambiar","Cambiar: ",""))&amp;INDEX('Recorrido'!$B$13:$B$47,$H13))</f>
        <v/>
      </c>
      <c r="D13" s="59">
        <f>IF($H13="","",IF(INDEX('Recorrido'!$D$13:$D$47,$H13)="Reparar","Repair: ",IF(INDEX('Recorrido'!$D$13:$D$47,$H13)="Cambiar","Replace: ",""))&amp;INDEX('Recorrido'!$C$13:$C$47,$H13)&amp;"")</f>
        <v/>
      </c>
      <c r="E13" s="60">
        <f>IF($H13="","",INDEX('Recorrido'!$E$13:$E$47,$H13))</f>
        <v/>
      </c>
      <c r="F13" s="59">
        <f>IF($H13="","",INDEX('Recorrido'!$F$13:$F$47,$H13)&amp;"")</f>
        <v/>
      </c>
      <c r="H13" s="44">
        <f>IFERROR(MATCH(1,'Recorrido'!$K$13:$K$47,0),"")</f>
        <v/>
      </c>
    </row>
    <row r="14" ht="26" customHeight="1">
      <c r="A14" s="58">
        <f>IF($H14="","",2)</f>
        <v/>
      </c>
      <c r="B14" s="59">
        <f>IF($H14="","",INDEX('Recorrido'!$A$13:$A$47,$H14)&amp;IFERROR(" · "&amp;INDEX('Recorrido'!$O$13:$O$20,MATCH(INDEX('Recorrido'!$A$13:$A$47,$H14),'Recorrido'!$N$13:$N$20,0)),""))</f>
        <v/>
      </c>
      <c r="C14" s="59">
        <f>IF($H14="","",IF(INDEX('Recorrido'!$D$13:$D$47,$H14)="Reparar","Reparar: ",IF(INDEX('Recorrido'!$D$13:$D$47,$H14)="Cambiar","Cambiar: ",""))&amp;INDEX('Recorrido'!$B$13:$B$47,$H14))</f>
        <v/>
      </c>
      <c r="D14" s="59">
        <f>IF($H14="","",IF(INDEX('Recorrido'!$D$13:$D$47,$H14)="Reparar","Repair: ",IF(INDEX('Recorrido'!$D$13:$D$47,$H14)="Cambiar","Replace: ",""))&amp;INDEX('Recorrido'!$C$13:$C$47,$H14)&amp;"")</f>
        <v/>
      </c>
      <c r="E14" s="60">
        <f>IF($H14="","",INDEX('Recorrido'!$E$13:$E$47,$H14))</f>
        <v/>
      </c>
      <c r="F14" s="59">
        <f>IF($H14="","",INDEX('Recorrido'!$F$13:$F$47,$H14)&amp;"")</f>
        <v/>
      </c>
      <c r="H14" s="44">
        <f>IFERROR(MATCH(2,'Recorrido'!$K$13:$K$47,0),"")</f>
        <v/>
      </c>
    </row>
    <row r="15" ht="26" customHeight="1">
      <c r="A15" s="58">
        <f>IF($H15="","",3)</f>
        <v/>
      </c>
      <c r="B15" s="59">
        <f>IF($H15="","",INDEX('Recorrido'!$A$13:$A$47,$H15)&amp;IFERROR(" · "&amp;INDEX('Recorrido'!$O$13:$O$20,MATCH(INDEX('Recorrido'!$A$13:$A$47,$H15),'Recorrido'!$N$13:$N$20,0)),""))</f>
        <v/>
      </c>
      <c r="C15" s="59">
        <f>IF($H15="","",IF(INDEX('Recorrido'!$D$13:$D$47,$H15)="Reparar","Reparar: ",IF(INDEX('Recorrido'!$D$13:$D$47,$H15)="Cambiar","Cambiar: ",""))&amp;INDEX('Recorrido'!$B$13:$B$47,$H15))</f>
        <v/>
      </c>
      <c r="D15" s="59">
        <f>IF($H15="","",IF(INDEX('Recorrido'!$D$13:$D$47,$H15)="Reparar","Repair: ",IF(INDEX('Recorrido'!$D$13:$D$47,$H15)="Cambiar","Replace: ",""))&amp;INDEX('Recorrido'!$C$13:$C$47,$H15)&amp;"")</f>
        <v/>
      </c>
      <c r="E15" s="60">
        <f>IF($H15="","",INDEX('Recorrido'!$E$13:$E$47,$H15))</f>
        <v/>
      </c>
      <c r="F15" s="59">
        <f>IF($H15="","",INDEX('Recorrido'!$F$13:$F$47,$H15)&amp;"")</f>
        <v/>
      </c>
      <c r="H15" s="44">
        <f>IFERROR(MATCH(3,'Recorrido'!$K$13:$K$47,0),"")</f>
        <v/>
      </c>
    </row>
    <row r="16" ht="26" customHeight="1">
      <c r="A16" s="58">
        <f>IF($H16="","",4)</f>
        <v/>
      </c>
      <c r="B16" s="59">
        <f>IF($H16="","",INDEX('Recorrido'!$A$13:$A$47,$H16)&amp;IFERROR(" · "&amp;INDEX('Recorrido'!$O$13:$O$20,MATCH(INDEX('Recorrido'!$A$13:$A$47,$H16),'Recorrido'!$N$13:$N$20,0)),""))</f>
        <v/>
      </c>
      <c r="C16" s="59">
        <f>IF($H16="","",IF(INDEX('Recorrido'!$D$13:$D$47,$H16)="Reparar","Reparar: ",IF(INDEX('Recorrido'!$D$13:$D$47,$H16)="Cambiar","Cambiar: ",""))&amp;INDEX('Recorrido'!$B$13:$B$47,$H16))</f>
        <v/>
      </c>
      <c r="D16" s="59">
        <f>IF($H16="","",IF(INDEX('Recorrido'!$D$13:$D$47,$H16)="Reparar","Repair: ",IF(INDEX('Recorrido'!$D$13:$D$47,$H16)="Cambiar","Replace: ",""))&amp;INDEX('Recorrido'!$C$13:$C$47,$H16)&amp;"")</f>
        <v/>
      </c>
      <c r="E16" s="60">
        <f>IF($H16="","",INDEX('Recorrido'!$E$13:$E$47,$H16))</f>
        <v/>
      </c>
      <c r="F16" s="59">
        <f>IF($H16="","",INDEX('Recorrido'!$F$13:$F$47,$H16)&amp;"")</f>
        <v/>
      </c>
      <c r="H16" s="44">
        <f>IFERROR(MATCH(4,'Recorrido'!$K$13:$K$47,0),"")</f>
        <v/>
      </c>
    </row>
    <row r="17" ht="26" customHeight="1">
      <c r="A17" s="58">
        <f>IF($H17="","",5)</f>
        <v/>
      </c>
      <c r="B17" s="59">
        <f>IF($H17="","",INDEX('Recorrido'!$A$13:$A$47,$H17)&amp;IFERROR(" · "&amp;INDEX('Recorrido'!$O$13:$O$20,MATCH(INDEX('Recorrido'!$A$13:$A$47,$H17),'Recorrido'!$N$13:$N$20,0)),""))</f>
        <v/>
      </c>
      <c r="C17" s="59">
        <f>IF($H17="","",IF(INDEX('Recorrido'!$D$13:$D$47,$H17)="Reparar","Reparar: ",IF(INDEX('Recorrido'!$D$13:$D$47,$H17)="Cambiar","Cambiar: ",""))&amp;INDEX('Recorrido'!$B$13:$B$47,$H17))</f>
        <v/>
      </c>
      <c r="D17" s="59">
        <f>IF($H17="","",IF(INDEX('Recorrido'!$D$13:$D$47,$H17)="Reparar","Repair: ",IF(INDEX('Recorrido'!$D$13:$D$47,$H17)="Cambiar","Replace: ",""))&amp;INDEX('Recorrido'!$C$13:$C$47,$H17)&amp;"")</f>
        <v/>
      </c>
      <c r="E17" s="60">
        <f>IF($H17="","",INDEX('Recorrido'!$E$13:$E$47,$H17))</f>
        <v/>
      </c>
      <c r="F17" s="59">
        <f>IF($H17="","",INDEX('Recorrido'!$F$13:$F$47,$H17)&amp;"")</f>
        <v/>
      </c>
      <c r="H17" s="44">
        <f>IFERROR(MATCH(5,'Recorrido'!$K$13:$K$47,0),"")</f>
        <v/>
      </c>
    </row>
    <row r="18" ht="26" customHeight="1">
      <c r="A18" s="58">
        <f>IF($H18="","",6)</f>
        <v/>
      </c>
      <c r="B18" s="59">
        <f>IF($H18="","",INDEX('Recorrido'!$A$13:$A$47,$H18)&amp;IFERROR(" · "&amp;INDEX('Recorrido'!$O$13:$O$20,MATCH(INDEX('Recorrido'!$A$13:$A$47,$H18),'Recorrido'!$N$13:$N$20,0)),""))</f>
        <v/>
      </c>
      <c r="C18" s="59">
        <f>IF($H18="","",IF(INDEX('Recorrido'!$D$13:$D$47,$H18)="Reparar","Reparar: ",IF(INDEX('Recorrido'!$D$13:$D$47,$H18)="Cambiar","Cambiar: ",""))&amp;INDEX('Recorrido'!$B$13:$B$47,$H18))</f>
        <v/>
      </c>
      <c r="D18" s="59">
        <f>IF($H18="","",IF(INDEX('Recorrido'!$D$13:$D$47,$H18)="Reparar","Repair: ",IF(INDEX('Recorrido'!$D$13:$D$47,$H18)="Cambiar","Replace: ",""))&amp;INDEX('Recorrido'!$C$13:$C$47,$H18)&amp;"")</f>
        <v/>
      </c>
      <c r="E18" s="60">
        <f>IF($H18="","",INDEX('Recorrido'!$E$13:$E$47,$H18))</f>
        <v/>
      </c>
      <c r="F18" s="59">
        <f>IF($H18="","",INDEX('Recorrido'!$F$13:$F$47,$H18)&amp;"")</f>
        <v/>
      </c>
      <c r="H18" s="44">
        <f>IFERROR(MATCH(6,'Recorrido'!$K$13:$K$47,0),"")</f>
        <v/>
      </c>
    </row>
    <row r="19" ht="26" customHeight="1">
      <c r="A19" s="58">
        <f>IF($H19="","",7)</f>
        <v/>
      </c>
      <c r="B19" s="59">
        <f>IF($H19="","",INDEX('Recorrido'!$A$13:$A$47,$H19)&amp;IFERROR(" · "&amp;INDEX('Recorrido'!$O$13:$O$20,MATCH(INDEX('Recorrido'!$A$13:$A$47,$H19),'Recorrido'!$N$13:$N$20,0)),""))</f>
        <v/>
      </c>
      <c r="C19" s="59">
        <f>IF($H19="","",IF(INDEX('Recorrido'!$D$13:$D$47,$H19)="Reparar","Reparar: ",IF(INDEX('Recorrido'!$D$13:$D$47,$H19)="Cambiar","Cambiar: ",""))&amp;INDEX('Recorrido'!$B$13:$B$47,$H19))</f>
        <v/>
      </c>
      <c r="D19" s="59">
        <f>IF($H19="","",IF(INDEX('Recorrido'!$D$13:$D$47,$H19)="Reparar","Repair: ",IF(INDEX('Recorrido'!$D$13:$D$47,$H19)="Cambiar","Replace: ",""))&amp;INDEX('Recorrido'!$C$13:$C$47,$H19)&amp;"")</f>
        <v/>
      </c>
      <c r="E19" s="60">
        <f>IF($H19="","",INDEX('Recorrido'!$E$13:$E$47,$H19))</f>
        <v/>
      </c>
      <c r="F19" s="59">
        <f>IF($H19="","",INDEX('Recorrido'!$F$13:$F$47,$H19)&amp;"")</f>
        <v/>
      </c>
      <c r="H19" s="44">
        <f>IFERROR(MATCH(7,'Recorrido'!$K$13:$K$47,0),"")</f>
        <v/>
      </c>
    </row>
    <row r="20" ht="26" customHeight="1">
      <c r="A20" s="58">
        <f>IF($H20="","",8)</f>
        <v/>
      </c>
      <c r="B20" s="59">
        <f>IF($H20="","",INDEX('Recorrido'!$A$13:$A$47,$H20)&amp;IFERROR(" · "&amp;INDEX('Recorrido'!$O$13:$O$20,MATCH(INDEX('Recorrido'!$A$13:$A$47,$H20),'Recorrido'!$N$13:$N$20,0)),""))</f>
        <v/>
      </c>
      <c r="C20" s="59">
        <f>IF($H20="","",IF(INDEX('Recorrido'!$D$13:$D$47,$H20)="Reparar","Reparar: ",IF(INDEX('Recorrido'!$D$13:$D$47,$H20)="Cambiar","Cambiar: ",""))&amp;INDEX('Recorrido'!$B$13:$B$47,$H20))</f>
        <v/>
      </c>
      <c r="D20" s="59">
        <f>IF($H20="","",IF(INDEX('Recorrido'!$D$13:$D$47,$H20)="Reparar","Repair: ",IF(INDEX('Recorrido'!$D$13:$D$47,$H20)="Cambiar","Replace: ",""))&amp;INDEX('Recorrido'!$C$13:$C$47,$H20)&amp;"")</f>
        <v/>
      </c>
      <c r="E20" s="60">
        <f>IF($H20="","",INDEX('Recorrido'!$E$13:$E$47,$H20))</f>
        <v/>
      </c>
      <c r="F20" s="59">
        <f>IF($H20="","",INDEX('Recorrido'!$F$13:$F$47,$H20)&amp;"")</f>
        <v/>
      </c>
      <c r="H20" s="44">
        <f>IFERROR(MATCH(8,'Recorrido'!$K$13:$K$47,0),"")</f>
        <v/>
      </c>
    </row>
    <row r="21" ht="26" customHeight="1">
      <c r="A21" s="58">
        <f>IF($H21="","",9)</f>
        <v/>
      </c>
      <c r="B21" s="59">
        <f>IF($H21="","",INDEX('Recorrido'!$A$13:$A$47,$H21)&amp;IFERROR(" · "&amp;INDEX('Recorrido'!$O$13:$O$20,MATCH(INDEX('Recorrido'!$A$13:$A$47,$H21),'Recorrido'!$N$13:$N$20,0)),""))</f>
        <v/>
      </c>
      <c r="C21" s="59">
        <f>IF($H21="","",IF(INDEX('Recorrido'!$D$13:$D$47,$H21)="Reparar","Reparar: ",IF(INDEX('Recorrido'!$D$13:$D$47,$H21)="Cambiar","Cambiar: ",""))&amp;INDEX('Recorrido'!$B$13:$B$47,$H21))</f>
        <v/>
      </c>
      <c r="D21" s="59">
        <f>IF($H21="","",IF(INDEX('Recorrido'!$D$13:$D$47,$H21)="Reparar","Repair: ",IF(INDEX('Recorrido'!$D$13:$D$47,$H21)="Cambiar","Replace: ",""))&amp;INDEX('Recorrido'!$C$13:$C$47,$H21)&amp;"")</f>
        <v/>
      </c>
      <c r="E21" s="60">
        <f>IF($H21="","",INDEX('Recorrido'!$E$13:$E$47,$H21))</f>
        <v/>
      </c>
      <c r="F21" s="59">
        <f>IF($H21="","",INDEX('Recorrido'!$F$13:$F$47,$H21)&amp;"")</f>
        <v/>
      </c>
      <c r="H21" s="44">
        <f>IFERROR(MATCH(9,'Recorrido'!$K$13:$K$47,0),"")</f>
        <v/>
      </c>
    </row>
    <row r="22" ht="26" customHeight="1">
      <c r="A22" s="58">
        <f>IF($H22="","",10)</f>
        <v/>
      </c>
      <c r="B22" s="59">
        <f>IF($H22="","",INDEX('Recorrido'!$A$13:$A$47,$H22)&amp;IFERROR(" · "&amp;INDEX('Recorrido'!$O$13:$O$20,MATCH(INDEX('Recorrido'!$A$13:$A$47,$H22),'Recorrido'!$N$13:$N$20,0)),""))</f>
        <v/>
      </c>
      <c r="C22" s="59">
        <f>IF($H22="","",IF(INDEX('Recorrido'!$D$13:$D$47,$H22)="Reparar","Reparar: ",IF(INDEX('Recorrido'!$D$13:$D$47,$H22)="Cambiar","Cambiar: ",""))&amp;INDEX('Recorrido'!$B$13:$B$47,$H22))</f>
        <v/>
      </c>
      <c r="D22" s="59">
        <f>IF($H22="","",IF(INDEX('Recorrido'!$D$13:$D$47,$H22)="Reparar","Repair: ",IF(INDEX('Recorrido'!$D$13:$D$47,$H22)="Cambiar","Replace: ",""))&amp;INDEX('Recorrido'!$C$13:$C$47,$H22)&amp;"")</f>
        <v/>
      </c>
      <c r="E22" s="60">
        <f>IF($H22="","",INDEX('Recorrido'!$E$13:$E$47,$H22))</f>
        <v/>
      </c>
      <c r="F22" s="59">
        <f>IF($H22="","",INDEX('Recorrido'!$F$13:$F$47,$H22)&amp;"")</f>
        <v/>
      </c>
      <c r="H22" s="44">
        <f>IFERROR(MATCH(10,'Recorrido'!$K$13:$K$47,0),"")</f>
        <v/>
      </c>
    </row>
    <row r="23" ht="26" customHeight="1">
      <c r="A23" s="58">
        <f>IF($H23="","",11)</f>
        <v/>
      </c>
      <c r="B23" s="59">
        <f>IF($H23="","",INDEX('Recorrido'!$A$13:$A$47,$H23)&amp;IFERROR(" · "&amp;INDEX('Recorrido'!$O$13:$O$20,MATCH(INDEX('Recorrido'!$A$13:$A$47,$H23),'Recorrido'!$N$13:$N$20,0)),""))</f>
        <v/>
      </c>
      <c r="C23" s="59">
        <f>IF($H23="","",IF(INDEX('Recorrido'!$D$13:$D$47,$H23)="Reparar","Reparar: ",IF(INDEX('Recorrido'!$D$13:$D$47,$H23)="Cambiar","Cambiar: ",""))&amp;INDEX('Recorrido'!$B$13:$B$47,$H23))</f>
        <v/>
      </c>
      <c r="D23" s="59">
        <f>IF($H23="","",IF(INDEX('Recorrido'!$D$13:$D$47,$H23)="Reparar","Repair: ",IF(INDEX('Recorrido'!$D$13:$D$47,$H23)="Cambiar","Replace: ",""))&amp;INDEX('Recorrido'!$C$13:$C$47,$H23)&amp;"")</f>
        <v/>
      </c>
      <c r="E23" s="60">
        <f>IF($H23="","",INDEX('Recorrido'!$E$13:$E$47,$H23))</f>
        <v/>
      </c>
      <c r="F23" s="59">
        <f>IF($H23="","",INDEX('Recorrido'!$F$13:$F$47,$H23)&amp;"")</f>
        <v/>
      </c>
      <c r="H23" s="44">
        <f>IFERROR(MATCH(11,'Recorrido'!$K$13:$K$47,0),"")</f>
        <v/>
      </c>
    </row>
    <row r="24" ht="26" customHeight="1">
      <c r="A24" s="58">
        <f>IF($H24="","",12)</f>
        <v/>
      </c>
      <c r="B24" s="59">
        <f>IF($H24="","",INDEX('Recorrido'!$A$13:$A$47,$H24)&amp;IFERROR(" · "&amp;INDEX('Recorrido'!$O$13:$O$20,MATCH(INDEX('Recorrido'!$A$13:$A$47,$H24),'Recorrido'!$N$13:$N$20,0)),""))</f>
        <v/>
      </c>
      <c r="C24" s="59">
        <f>IF($H24="","",IF(INDEX('Recorrido'!$D$13:$D$47,$H24)="Reparar","Reparar: ",IF(INDEX('Recorrido'!$D$13:$D$47,$H24)="Cambiar","Cambiar: ",""))&amp;INDEX('Recorrido'!$B$13:$B$47,$H24))</f>
        <v/>
      </c>
      <c r="D24" s="59">
        <f>IF($H24="","",IF(INDEX('Recorrido'!$D$13:$D$47,$H24)="Reparar","Repair: ",IF(INDEX('Recorrido'!$D$13:$D$47,$H24)="Cambiar","Replace: ",""))&amp;INDEX('Recorrido'!$C$13:$C$47,$H24)&amp;"")</f>
        <v/>
      </c>
      <c r="E24" s="60">
        <f>IF($H24="","",INDEX('Recorrido'!$E$13:$E$47,$H24))</f>
        <v/>
      </c>
      <c r="F24" s="59">
        <f>IF($H24="","",INDEX('Recorrido'!$F$13:$F$47,$H24)&amp;"")</f>
        <v/>
      </c>
      <c r="H24" s="44">
        <f>IFERROR(MATCH(12,'Recorrido'!$K$13:$K$47,0),"")</f>
        <v/>
      </c>
    </row>
    <row r="25" ht="26" customHeight="1">
      <c r="A25" s="58">
        <f>IF($H25="","",13)</f>
        <v/>
      </c>
      <c r="B25" s="59">
        <f>IF($H25="","",INDEX('Recorrido'!$A$13:$A$47,$H25)&amp;IFERROR(" · "&amp;INDEX('Recorrido'!$O$13:$O$20,MATCH(INDEX('Recorrido'!$A$13:$A$47,$H25),'Recorrido'!$N$13:$N$20,0)),""))</f>
        <v/>
      </c>
      <c r="C25" s="59">
        <f>IF($H25="","",IF(INDEX('Recorrido'!$D$13:$D$47,$H25)="Reparar","Reparar: ",IF(INDEX('Recorrido'!$D$13:$D$47,$H25)="Cambiar","Cambiar: ",""))&amp;INDEX('Recorrido'!$B$13:$B$47,$H25))</f>
        <v/>
      </c>
      <c r="D25" s="59">
        <f>IF($H25="","",IF(INDEX('Recorrido'!$D$13:$D$47,$H25)="Reparar","Repair: ",IF(INDEX('Recorrido'!$D$13:$D$47,$H25)="Cambiar","Replace: ",""))&amp;INDEX('Recorrido'!$C$13:$C$47,$H25)&amp;"")</f>
        <v/>
      </c>
      <c r="E25" s="60">
        <f>IF($H25="","",INDEX('Recorrido'!$E$13:$E$47,$H25))</f>
        <v/>
      </c>
      <c r="F25" s="59">
        <f>IF($H25="","",INDEX('Recorrido'!$F$13:$F$47,$H25)&amp;"")</f>
        <v/>
      </c>
      <c r="H25" s="44">
        <f>IFERROR(MATCH(13,'Recorrido'!$K$13:$K$47,0),"")</f>
        <v/>
      </c>
    </row>
    <row r="26" ht="26" customHeight="1">
      <c r="A26" s="58">
        <f>IF($H26="","",14)</f>
        <v/>
      </c>
      <c r="B26" s="59">
        <f>IF($H26="","",INDEX('Recorrido'!$A$13:$A$47,$H26)&amp;IFERROR(" · "&amp;INDEX('Recorrido'!$O$13:$O$20,MATCH(INDEX('Recorrido'!$A$13:$A$47,$H26),'Recorrido'!$N$13:$N$20,0)),""))</f>
        <v/>
      </c>
      <c r="C26" s="59">
        <f>IF($H26="","",IF(INDEX('Recorrido'!$D$13:$D$47,$H26)="Reparar","Reparar: ",IF(INDEX('Recorrido'!$D$13:$D$47,$H26)="Cambiar","Cambiar: ",""))&amp;INDEX('Recorrido'!$B$13:$B$47,$H26))</f>
        <v/>
      </c>
      <c r="D26" s="59">
        <f>IF($H26="","",IF(INDEX('Recorrido'!$D$13:$D$47,$H26)="Reparar","Repair: ",IF(INDEX('Recorrido'!$D$13:$D$47,$H26)="Cambiar","Replace: ",""))&amp;INDEX('Recorrido'!$C$13:$C$47,$H26)&amp;"")</f>
        <v/>
      </c>
      <c r="E26" s="60">
        <f>IF($H26="","",INDEX('Recorrido'!$E$13:$E$47,$H26))</f>
        <v/>
      </c>
      <c r="F26" s="59">
        <f>IF($H26="","",INDEX('Recorrido'!$F$13:$F$47,$H26)&amp;"")</f>
        <v/>
      </c>
      <c r="H26" s="44">
        <f>IFERROR(MATCH(14,'Recorrido'!$K$13:$K$47,0),"")</f>
        <v/>
      </c>
    </row>
    <row r="27" ht="26" customHeight="1">
      <c r="A27" s="58">
        <f>IF($H27="","",15)</f>
        <v/>
      </c>
      <c r="B27" s="59">
        <f>IF($H27="","",INDEX('Recorrido'!$A$13:$A$47,$H27)&amp;IFERROR(" · "&amp;INDEX('Recorrido'!$O$13:$O$20,MATCH(INDEX('Recorrido'!$A$13:$A$47,$H27),'Recorrido'!$N$13:$N$20,0)),""))</f>
        <v/>
      </c>
      <c r="C27" s="59">
        <f>IF($H27="","",IF(INDEX('Recorrido'!$D$13:$D$47,$H27)="Reparar","Reparar: ",IF(INDEX('Recorrido'!$D$13:$D$47,$H27)="Cambiar","Cambiar: ",""))&amp;INDEX('Recorrido'!$B$13:$B$47,$H27))</f>
        <v/>
      </c>
      <c r="D27" s="59">
        <f>IF($H27="","",IF(INDEX('Recorrido'!$D$13:$D$47,$H27)="Reparar","Repair: ",IF(INDEX('Recorrido'!$D$13:$D$47,$H27)="Cambiar","Replace: ",""))&amp;INDEX('Recorrido'!$C$13:$C$47,$H27)&amp;"")</f>
        <v/>
      </c>
      <c r="E27" s="60">
        <f>IF($H27="","",INDEX('Recorrido'!$E$13:$E$47,$H27))</f>
        <v/>
      </c>
      <c r="F27" s="59">
        <f>IF($H27="","",INDEX('Recorrido'!$F$13:$F$47,$H27)&amp;"")</f>
        <v/>
      </c>
      <c r="H27" s="44">
        <f>IFERROR(MATCH(15,'Recorrido'!$K$13:$K$47,0),"")</f>
        <v/>
      </c>
    </row>
    <row r="28" ht="26" customHeight="1">
      <c r="A28" s="58">
        <f>IF($H28="","",16)</f>
        <v/>
      </c>
      <c r="B28" s="59">
        <f>IF($H28="","",INDEX('Recorrido'!$A$13:$A$47,$H28)&amp;IFERROR(" · "&amp;INDEX('Recorrido'!$O$13:$O$20,MATCH(INDEX('Recorrido'!$A$13:$A$47,$H28),'Recorrido'!$N$13:$N$20,0)),""))</f>
        <v/>
      </c>
      <c r="C28" s="59">
        <f>IF($H28="","",IF(INDEX('Recorrido'!$D$13:$D$47,$H28)="Reparar","Reparar: ",IF(INDEX('Recorrido'!$D$13:$D$47,$H28)="Cambiar","Cambiar: ",""))&amp;INDEX('Recorrido'!$B$13:$B$47,$H28))</f>
        <v/>
      </c>
      <c r="D28" s="59">
        <f>IF($H28="","",IF(INDEX('Recorrido'!$D$13:$D$47,$H28)="Reparar","Repair: ",IF(INDEX('Recorrido'!$D$13:$D$47,$H28)="Cambiar","Replace: ",""))&amp;INDEX('Recorrido'!$C$13:$C$47,$H28)&amp;"")</f>
        <v/>
      </c>
      <c r="E28" s="60">
        <f>IF($H28="","",INDEX('Recorrido'!$E$13:$E$47,$H28))</f>
        <v/>
      </c>
      <c r="F28" s="59">
        <f>IF($H28="","",INDEX('Recorrido'!$F$13:$F$47,$H28)&amp;"")</f>
        <v/>
      </c>
      <c r="H28" s="44">
        <f>IFERROR(MATCH(16,'Recorrido'!$K$13:$K$47,0),"")</f>
        <v/>
      </c>
    </row>
    <row r="29" ht="26" customHeight="1">
      <c r="A29" s="58">
        <f>IF($H29="","",17)</f>
        <v/>
      </c>
      <c r="B29" s="59">
        <f>IF($H29="","",INDEX('Recorrido'!$A$13:$A$47,$H29)&amp;IFERROR(" · "&amp;INDEX('Recorrido'!$O$13:$O$20,MATCH(INDEX('Recorrido'!$A$13:$A$47,$H29),'Recorrido'!$N$13:$N$20,0)),""))</f>
        <v/>
      </c>
      <c r="C29" s="59">
        <f>IF($H29="","",IF(INDEX('Recorrido'!$D$13:$D$47,$H29)="Reparar","Reparar: ",IF(INDEX('Recorrido'!$D$13:$D$47,$H29)="Cambiar","Cambiar: ",""))&amp;INDEX('Recorrido'!$B$13:$B$47,$H29))</f>
        <v/>
      </c>
      <c r="D29" s="59">
        <f>IF($H29="","",IF(INDEX('Recorrido'!$D$13:$D$47,$H29)="Reparar","Repair: ",IF(INDEX('Recorrido'!$D$13:$D$47,$H29)="Cambiar","Replace: ",""))&amp;INDEX('Recorrido'!$C$13:$C$47,$H29)&amp;"")</f>
        <v/>
      </c>
      <c r="E29" s="60">
        <f>IF($H29="","",INDEX('Recorrido'!$E$13:$E$47,$H29))</f>
        <v/>
      </c>
      <c r="F29" s="59">
        <f>IF($H29="","",INDEX('Recorrido'!$F$13:$F$47,$H29)&amp;"")</f>
        <v/>
      </c>
      <c r="H29" s="44">
        <f>IFERROR(MATCH(17,'Recorrido'!$K$13:$K$47,0),"")</f>
        <v/>
      </c>
    </row>
    <row r="30" ht="26" customHeight="1">
      <c r="A30" s="58">
        <f>IF($H30="","",18)</f>
        <v/>
      </c>
      <c r="B30" s="59">
        <f>IF($H30="","",INDEX('Recorrido'!$A$13:$A$47,$H30)&amp;IFERROR(" · "&amp;INDEX('Recorrido'!$O$13:$O$20,MATCH(INDEX('Recorrido'!$A$13:$A$47,$H30),'Recorrido'!$N$13:$N$20,0)),""))</f>
        <v/>
      </c>
      <c r="C30" s="59">
        <f>IF($H30="","",IF(INDEX('Recorrido'!$D$13:$D$47,$H30)="Reparar","Reparar: ",IF(INDEX('Recorrido'!$D$13:$D$47,$H30)="Cambiar","Cambiar: ",""))&amp;INDEX('Recorrido'!$B$13:$B$47,$H30))</f>
        <v/>
      </c>
      <c r="D30" s="59">
        <f>IF($H30="","",IF(INDEX('Recorrido'!$D$13:$D$47,$H30)="Reparar","Repair: ",IF(INDEX('Recorrido'!$D$13:$D$47,$H30)="Cambiar","Replace: ",""))&amp;INDEX('Recorrido'!$C$13:$C$47,$H30)&amp;"")</f>
        <v/>
      </c>
      <c r="E30" s="60">
        <f>IF($H30="","",INDEX('Recorrido'!$E$13:$E$47,$H30))</f>
        <v/>
      </c>
      <c r="F30" s="59">
        <f>IF($H30="","",INDEX('Recorrido'!$F$13:$F$47,$H30)&amp;"")</f>
        <v/>
      </c>
      <c r="H30" s="44">
        <f>IFERROR(MATCH(18,'Recorrido'!$K$13:$K$47,0),"")</f>
        <v/>
      </c>
    </row>
    <row r="31" ht="26" customHeight="1">
      <c r="A31" s="58">
        <f>IF($H31="","",19)</f>
        <v/>
      </c>
      <c r="B31" s="59">
        <f>IF($H31="","",INDEX('Recorrido'!$A$13:$A$47,$H31)&amp;IFERROR(" · "&amp;INDEX('Recorrido'!$O$13:$O$20,MATCH(INDEX('Recorrido'!$A$13:$A$47,$H31),'Recorrido'!$N$13:$N$20,0)),""))</f>
        <v/>
      </c>
      <c r="C31" s="59">
        <f>IF($H31="","",IF(INDEX('Recorrido'!$D$13:$D$47,$H31)="Reparar","Reparar: ",IF(INDEX('Recorrido'!$D$13:$D$47,$H31)="Cambiar","Cambiar: ",""))&amp;INDEX('Recorrido'!$B$13:$B$47,$H31))</f>
        <v/>
      </c>
      <c r="D31" s="59">
        <f>IF($H31="","",IF(INDEX('Recorrido'!$D$13:$D$47,$H31)="Reparar","Repair: ",IF(INDEX('Recorrido'!$D$13:$D$47,$H31)="Cambiar","Replace: ",""))&amp;INDEX('Recorrido'!$C$13:$C$47,$H31)&amp;"")</f>
        <v/>
      </c>
      <c r="E31" s="60">
        <f>IF($H31="","",INDEX('Recorrido'!$E$13:$E$47,$H31))</f>
        <v/>
      </c>
      <c r="F31" s="59">
        <f>IF($H31="","",INDEX('Recorrido'!$F$13:$F$47,$H31)&amp;"")</f>
        <v/>
      </c>
      <c r="H31" s="44">
        <f>IFERROR(MATCH(19,'Recorrido'!$K$13:$K$47,0),"")</f>
        <v/>
      </c>
    </row>
    <row r="32" ht="26" customHeight="1">
      <c r="A32" s="58">
        <f>IF($H32="","",20)</f>
        <v/>
      </c>
      <c r="B32" s="59">
        <f>IF($H32="","",INDEX('Recorrido'!$A$13:$A$47,$H32)&amp;IFERROR(" · "&amp;INDEX('Recorrido'!$O$13:$O$20,MATCH(INDEX('Recorrido'!$A$13:$A$47,$H32),'Recorrido'!$N$13:$N$20,0)),""))</f>
        <v/>
      </c>
      <c r="C32" s="59">
        <f>IF($H32="","",IF(INDEX('Recorrido'!$D$13:$D$47,$H32)="Reparar","Reparar: ",IF(INDEX('Recorrido'!$D$13:$D$47,$H32)="Cambiar","Cambiar: ",""))&amp;INDEX('Recorrido'!$B$13:$B$47,$H32))</f>
        <v/>
      </c>
      <c r="D32" s="59">
        <f>IF($H32="","",IF(INDEX('Recorrido'!$D$13:$D$47,$H32)="Reparar","Repair: ",IF(INDEX('Recorrido'!$D$13:$D$47,$H32)="Cambiar","Replace: ",""))&amp;INDEX('Recorrido'!$C$13:$C$47,$H32)&amp;"")</f>
        <v/>
      </c>
      <c r="E32" s="60">
        <f>IF($H32="","",INDEX('Recorrido'!$E$13:$E$47,$H32))</f>
        <v/>
      </c>
      <c r="F32" s="59">
        <f>IF($H32="","",INDEX('Recorrido'!$F$13:$F$47,$H32)&amp;"")</f>
        <v/>
      </c>
      <c r="H32" s="44">
        <f>IFERROR(MATCH(20,'Recorrido'!$K$13:$K$47,0),"")</f>
        <v/>
      </c>
    </row>
    <row r="33" ht="26" customHeight="1">
      <c r="A33" s="58">
        <f>IF($H33="","",21)</f>
        <v/>
      </c>
      <c r="B33" s="59">
        <f>IF($H33="","",INDEX('Recorrido'!$A$13:$A$47,$H33)&amp;IFERROR(" · "&amp;INDEX('Recorrido'!$O$13:$O$20,MATCH(INDEX('Recorrido'!$A$13:$A$47,$H33),'Recorrido'!$N$13:$N$20,0)),""))</f>
        <v/>
      </c>
      <c r="C33" s="59">
        <f>IF($H33="","",IF(INDEX('Recorrido'!$D$13:$D$47,$H33)="Reparar","Reparar: ",IF(INDEX('Recorrido'!$D$13:$D$47,$H33)="Cambiar","Cambiar: ",""))&amp;INDEX('Recorrido'!$B$13:$B$47,$H33))</f>
        <v/>
      </c>
      <c r="D33" s="59">
        <f>IF($H33="","",IF(INDEX('Recorrido'!$D$13:$D$47,$H33)="Reparar","Repair: ",IF(INDEX('Recorrido'!$D$13:$D$47,$H33)="Cambiar","Replace: ",""))&amp;INDEX('Recorrido'!$C$13:$C$47,$H33)&amp;"")</f>
        <v/>
      </c>
      <c r="E33" s="60">
        <f>IF($H33="","",INDEX('Recorrido'!$E$13:$E$47,$H33))</f>
        <v/>
      </c>
      <c r="F33" s="59">
        <f>IF($H33="","",INDEX('Recorrido'!$F$13:$F$47,$H33)&amp;"")</f>
        <v/>
      </c>
      <c r="H33" s="44">
        <f>IFERROR(MATCH(21,'Recorrido'!$K$13:$K$47,0),"")</f>
        <v/>
      </c>
    </row>
    <row r="34" ht="26" customHeight="1">
      <c r="A34" s="58">
        <f>IF($H34="","",22)</f>
        <v/>
      </c>
      <c r="B34" s="59">
        <f>IF($H34="","",INDEX('Recorrido'!$A$13:$A$47,$H34)&amp;IFERROR(" · "&amp;INDEX('Recorrido'!$O$13:$O$20,MATCH(INDEX('Recorrido'!$A$13:$A$47,$H34),'Recorrido'!$N$13:$N$20,0)),""))</f>
        <v/>
      </c>
      <c r="C34" s="59">
        <f>IF($H34="","",IF(INDEX('Recorrido'!$D$13:$D$47,$H34)="Reparar","Reparar: ",IF(INDEX('Recorrido'!$D$13:$D$47,$H34)="Cambiar","Cambiar: ",""))&amp;INDEX('Recorrido'!$B$13:$B$47,$H34))</f>
        <v/>
      </c>
      <c r="D34" s="59">
        <f>IF($H34="","",IF(INDEX('Recorrido'!$D$13:$D$47,$H34)="Reparar","Repair: ",IF(INDEX('Recorrido'!$D$13:$D$47,$H34)="Cambiar","Replace: ",""))&amp;INDEX('Recorrido'!$C$13:$C$47,$H34)&amp;"")</f>
        <v/>
      </c>
      <c r="E34" s="60">
        <f>IF($H34="","",INDEX('Recorrido'!$E$13:$E$47,$H34))</f>
        <v/>
      </c>
      <c r="F34" s="59">
        <f>IF($H34="","",INDEX('Recorrido'!$F$13:$F$47,$H34)&amp;"")</f>
        <v/>
      </c>
      <c r="H34" s="44">
        <f>IFERROR(MATCH(22,'Recorrido'!$K$13:$K$47,0),"")</f>
        <v/>
      </c>
    </row>
    <row r="35" ht="26" customHeight="1">
      <c r="A35" s="58">
        <f>IF($H35="","",23)</f>
        <v/>
      </c>
      <c r="B35" s="59">
        <f>IF($H35="","",INDEX('Recorrido'!$A$13:$A$47,$H35)&amp;IFERROR(" · "&amp;INDEX('Recorrido'!$O$13:$O$20,MATCH(INDEX('Recorrido'!$A$13:$A$47,$H35),'Recorrido'!$N$13:$N$20,0)),""))</f>
        <v/>
      </c>
      <c r="C35" s="59">
        <f>IF($H35="","",IF(INDEX('Recorrido'!$D$13:$D$47,$H35)="Reparar","Reparar: ",IF(INDEX('Recorrido'!$D$13:$D$47,$H35)="Cambiar","Cambiar: ",""))&amp;INDEX('Recorrido'!$B$13:$B$47,$H35))</f>
        <v/>
      </c>
      <c r="D35" s="59">
        <f>IF($H35="","",IF(INDEX('Recorrido'!$D$13:$D$47,$H35)="Reparar","Repair: ",IF(INDEX('Recorrido'!$D$13:$D$47,$H35)="Cambiar","Replace: ",""))&amp;INDEX('Recorrido'!$C$13:$C$47,$H35)&amp;"")</f>
        <v/>
      </c>
      <c r="E35" s="60">
        <f>IF($H35="","",INDEX('Recorrido'!$E$13:$E$47,$H35))</f>
        <v/>
      </c>
      <c r="F35" s="59">
        <f>IF($H35="","",INDEX('Recorrido'!$F$13:$F$47,$H35)&amp;"")</f>
        <v/>
      </c>
      <c r="H35" s="44">
        <f>IFERROR(MATCH(23,'Recorrido'!$K$13:$K$47,0),"")</f>
        <v/>
      </c>
    </row>
    <row r="36" ht="26" customHeight="1">
      <c r="A36" s="58">
        <f>IF($H36="","",24)</f>
        <v/>
      </c>
      <c r="B36" s="59">
        <f>IF($H36="","",INDEX('Recorrido'!$A$13:$A$47,$H36)&amp;IFERROR(" · "&amp;INDEX('Recorrido'!$O$13:$O$20,MATCH(INDEX('Recorrido'!$A$13:$A$47,$H36),'Recorrido'!$N$13:$N$20,0)),""))</f>
        <v/>
      </c>
      <c r="C36" s="59">
        <f>IF($H36="","",IF(INDEX('Recorrido'!$D$13:$D$47,$H36)="Reparar","Reparar: ",IF(INDEX('Recorrido'!$D$13:$D$47,$H36)="Cambiar","Cambiar: ",""))&amp;INDEX('Recorrido'!$B$13:$B$47,$H36))</f>
        <v/>
      </c>
      <c r="D36" s="59">
        <f>IF($H36="","",IF(INDEX('Recorrido'!$D$13:$D$47,$H36)="Reparar","Repair: ",IF(INDEX('Recorrido'!$D$13:$D$47,$H36)="Cambiar","Replace: ",""))&amp;INDEX('Recorrido'!$C$13:$C$47,$H36)&amp;"")</f>
        <v/>
      </c>
      <c r="E36" s="60">
        <f>IF($H36="","",INDEX('Recorrido'!$E$13:$E$47,$H36))</f>
        <v/>
      </c>
      <c r="F36" s="59">
        <f>IF($H36="","",INDEX('Recorrido'!$F$13:$F$47,$H36)&amp;"")</f>
        <v/>
      </c>
      <c r="H36" s="44">
        <f>IFERROR(MATCH(24,'Recorrido'!$K$13:$K$47,0),"")</f>
        <v/>
      </c>
    </row>
    <row r="37" ht="26" customHeight="1">
      <c r="A37" s="58">
        <f>IF($H37="","",25)</f>
        <v/>
      </c>
      <c r="B37" s="59">
        <f>IF($H37="","",INDEX('Recorrido'!$A$13:$A$47,$H37)&amp;IFERROR(" · "&amp;INDEX('Recorrido'!$O$13:$O$20,MATCH(INDEX('Recorrido'!$A$13:$A$47,$H37),'Recorrido'!$N$13:$N$20,0)),""))</f>
        <v/>
      </c>
      <c r="C37" s="59">
        <f>IF($H37="","",IF(INDEX('Recorrido'!$D$13:$D$47,$H37)="Reparar","Reparar: ",IF(INDEX('Recorrido'!$D$13:$D$47,$H37)="Cambiar","Cambiar: ",""))&amp;INDEX('Recorrido'!$B$13:$B$47,$H37))</f>
        <v/>
      </c>
      <c r="D37" s="59">
        <f>IF($H37="","",IF(INDEX('Recorrido'!$D$13:$D$47,$H37)="Reparar","Repair: ",IF(INDEX('Recorrido'!$D$13:$D$47,$H37)="Cambiar","Replace: ",""))&amp;INDEX('Recorrido'!$C$13:$C$47,$H37)&amp;"")</f>
        <v/>
      </c>
      <c r="E37" s="60">
        <f>IF($H37="","",INDEX('Recorrido'!$E$13:$E$47,$H37))</f>
        <v/>
      </c>
      <c r="F37" s="59">
        <f>IF($H37="","",INDEX('Recorrido'!$F$13:$F$47,$H37)&amp;"")</f>
        <v/>
      </c>
      <c r="H37" s="44">
        <f>IFERROR(MATCH(25,'Recorrido'!$K$13:$K$47,0),"")</f>
        <v/>
      </c>
    </row>
    <row r="38" ht="26" customHeight="1">
      <c r="A38" s="58">
        <f>IF($H38="","",26)</f>
        <v/>
      </c>
      <c r="B38" s="59">
        <f>IF($H38="","",INDEX('Recorrido'!$A$13:$A$47,$H38)&amp;IFERROR(" · "&amp;INDEX('Recorrido'!$O$13:$O$20,MATCH(INDEX('Recorrido'!$A$13:$A$47,$H38),'Recorrido'!$N$13:$N$20,0)),""))</f>
        <v/>
      </c>
      <c r="C38" s="59">
        <f>IF($H38="","",IF(INDEX('Recorrido'!$D$13:$D$47,$H38)="Reparar","Reparar: ",IF(INDEX('Recorrido'!$D$13:$D$47,$H38)="Cambiar","Cambiar: ",""))&amp;INDEX('Recorrido'!$B$13:$B$47,$H38))</f>
        <v/>
      </c>
      <c r="D38" s="59">
        <f>IF($H38="","",IF(INDEX('Recorrido'!$D$13:$D$47,$H38)="Reparar","Repair: ",IF(INDEX('Recorrido'!$D$13:$D$47,$H38)="Cambiar","Replace: ",""))&amp;INDEX('Recorrido'!$C$13:$C$47,$H38)&amp;"")</f>
        <v/>
      </c>
      <c r="E38" s="60">
        <f>IF($H38="","",INDEX('Recorrido'!$E$13:$E$47,$H38))</f>
        <v/>
      </c>
      <c r="F38" s="59">
        <f>IF($H38="","",INDEX('Recorrido'!$F$13:$F$47,$H38)&amp;"")</f>
        <v/>
      </c>
      <c r="H38" s="44">
        <f>IFERROR(MATCH(26,'Recorrido'!$K$13:$K$47,0),"")</f>
        <v/>
      </c>
    </row>
    <row r="39" ht="26" customHeight="1">
      <c r="A39" s="58">
        <f>IF($H39="","",27)</f>
        <v/>
      </c>
      <c r="B39" s="59">
        <f>IF($H39="","",INDEX('Recorrido'!$A$13:$A$47,$H39)&amp;IFERROR(" · "&amp;INDEX('Recorrido'!$O$13:$O$20,MATCH(INDEX('Recorrido'!$A$13:$A$47,$H39),'Recorrido'!$N$13:$N$20,0)),""))</f>
        <v/>
      </c>
      <c r="C39" s="59">
        <f>IF($H39="","",IF(INDEX('Recorrido'!$D$13:$D$47,$H39)="Reparar","Reparar: ",IF(INDEX('Recorrido'!$D$13:$D$47,$H39)="Cambiar","Cambiar: ",""))&amp;INDEX('Recorrido'!$B$13:$B$47,$H39))</f>
        <v/>
      </c>
      <c r="D39" s="59">
        <f>IF($H39="","",IF(INDEX('Recorrido'!$D$13:$D$47,$H39)="Reparar","Repair: ",IF(INDEX('Recorrido'!$D$13:$D$47,$H39)="Cambiar","Replace: ",""))&amp;INDEX('Recorrido'!$C$13:$C$47,$H39)&amp;"")</f>
        <v/>
      </c>
      <c r="E39" s="60">
        <f>IF($H39="","",INDEX('Recorrido'!$E$13:$E$47,$H39))</f>
        <v/>
      </c>
      <c r="F39" s="59">
        <f>IF($H39="","",INDEX('Recorrido'!$F$13:$F$47,$H39)&amp;"")</f>
        <v/>
      </c>
      <c r="H39" s="44">
        <f>IFERROR(MATCH(27,'Recorrido'!$K$13:$K$47,0),"")</f>
        <v/>
      </c>
    </row>
    <row r="40" ht="26" customHeight="1">
      <c r="A40" s="58">
        <f>IF($H40="","",28)</f>
        <v/>
      </c>
      <c r="B40" s="59">
        <f>IF($H40="","",INDEX('Recorrido'!$A$13:$A$47,$H40)&amp;IFERROR(" · "&amp;INDEX('Recorrido'!$O$13:$O$20,MATCH(INDEX('Recorrido'!$A$13:$A$47,$H40),'Recorrido'!$N$13:$N$20,0)),""))</f>
        <v/>
      </c>
      <c r="C40" s="59">
        <f>IF($H40="","",IF(INDEX('Recorrido'!$D$13:$D$47,$H40)="Reparar","Reparar: ",IF(INDEX('Recorrido'!$D$13:$D$47,$H40)="Cambiar","Cambiar: ",""))&amp;INDEX('Recorrido'!$B$13:$B$47,$H40))</f>
        <v/>
      </c>
      <c r="D40" s="59">
        <f>IF($H40="","",IF(INDEX('Recorrido'!$D$13:$D$47,$H40)="Reparar","Repair: ",IF(INDEX('Recorrido'!$D$13:$D$47,$H40)="Cambiar","Replace: ",""))&amp;INDEX('Recorrido'!$C$13:$C$47,$H40)&amp;"")</f>
        <v/>
      </c>
      <c r="E40" s="60">
        <f>IF($H40="","",INDEX('Recorrido'!$E$13:$E$47,$H40))</f>
        <v/>
      </c>
      <c r="F40" s="59">
        <f>IF($H40="","",INDEX('Recorrido'!$F$13:$F$47,$H40)&amp;"")</f>
        <v/>
      </c>
      <c r="H40" s="44">
        <f>IFERROR(MATCH(28,'Recorrido'!$K$13:$K$47,0),"")</f>
        <v/>
      </c>
    </row>
    <row r="41" ht="26" customHeight="1">
      <c r="A41" s="58">
        <f>IF($H41="","",29)</f>
        <v/>
      </c>
      <c r="B41" s="59">
        <f>IF($H41="","",INDEX('Recorrido'!$A$13:$A$47,$H41)&amp;IFERROR(" · "&amp;INDEX('Recorrido'!$O$13:$O$20,MATCH(INDEX('Recorrido'!$A$13:$A$47,$H41),'Recorrido'!$N$13:$N$20,0)),""))</f>
        <v/>
      </c>
      <c r="C41" s="59">
        <f>IF($H41="","",IF(INDEX('Recorrido'!$D$13:$D$47,$H41)="Reparar","Reparar: ",IF(INDEX('Recorrido'!$D$13:$D$47,$H41)="Cambiar","Cambiar: ",""))&amp;INDEX('Recorrido'!$B$13:$B$47,$H41))</f>
        <v/>
      </c>
      <c r="D41" s="59">
        <f>IF($H41="","",IF(INDEX('Recorrido'!$D$13:$D$47,$H41)="Reparar","Repair: ",IF(INDEX('Recorrido'!$D$13:$D$47,$H41)="Cambiar","Replace: ",""))&amp;INDEX('Recorrido'!$C$13:$C$47,$H41)&amp;"")</f>
        <v/>
      </c>
      <c r="E41" s="60">
        <f>IF($H41="","",INDEX('Recorrido'!$E$13:$E$47,$H41))</f>
        <v/>
      </c>
      <c r="F41" s="59">
        <f>IF($H41="","",INDEX('Recorrido'!$F$13:$F$47,$H41)&amp;"")</f>
        <v/>
      </c>
      <c r="H41" s="44">
        <f>IFERROR(MATCH(29,'Recorrido'!$K$13:$K$47,0),"")</f>
        <v/>
      </c>
    </row>
    <row r="42" ht="26" customHeight="1">
      <c r="A42" s="58">
        <f>IF($H42="","",30)</f>
        <v/>
      </c>
      <c r="B42" s="59">
        <f>IF($H42="","",INDEX('Recorrido'!$A$13:$A$47,$H42)&amp;IFERROR(" · "&amp;INDEX('Recorrido'!$O$13:$O$20,MATCH(INDEX('Recorrido'!$A$13:$A$47,$H42),'Recorrido'!$N$13:$N$20,0)),""))</f>
        <v/>
      </c>
      <c r="C42" s="59">
        <f>IF($H42="","",IF(INDEX('Recorrido'!$D$13:$D$47,$H42)="Reparar","Reparar: ",IF(INDEX('Recorrido'!$D$13:$D$47,$H42)="Cambiar","Cambiar: ",""))&amp;INDEX('Recorrido'!$B$13:$B$47,$H42))</f>
        <v/>
      </c>
      <c r="D42" s="59">
        <f>IF($H42="","",IF(INDEX('Recorrido'!$D$13:$D$47,$H42)="Reparar","Repair: ",IF(INDEX('Recorrido'!$D$13:$D$47,$H42)="Cambiar","Replace: ",""))&amp;INDEX('Recorrido'!$C$13:$C$47,$H42)&amp;"")</f>
        <v/>
      </c>
      <c r="E42" s="60">
        <f>IF($H42="","",INDEX('Recorrido'!$E$13:$E$47,$H42))</f>
        <v/>
      </c>
      <c r="F42" s="59">
        <f>IF($H42="","",INDEX('Recorrido'!$F$13:$F$47,$H42)&amp;"")</f>
        <v/>
      </c>
      <c r="H42" s="44">
        <f>IFERROR(MATCH(30,'Recorrido'!$K$13:$K$47,0),"")</f>
        <v/>
      </c>
    </row>
    <row r="43" ht="26" customHeight="1">
      <c r="A43" s="58">
        <f>IF($H43="","",31)</f>
        <v/>
      </c>
      <c r="B43" s="59">
        <f>IF($H43="","",INDEX('Recorrido'!$A$13:$A$47,$H43)&amp;IFERROR(" · "&amp;INDEX('Recorrido'!$O$13:$O$20,MATCH(INDEX('Recorrido'!$A$13:$A$47,$H43),'Recorrido'!$N$13:$N$20,0)),""))</f>
        <v/>
      </c>
      <c r="C43" s="59">
        <f>IF($H43="","",IF(INDEX('Recorrido'!$D$13:$D$47,$H43)="Reparar","Reparar: ",IF(INDEX('Recorrido'!$D$13:$D$47,$H43)="Cambiar","Cambiar: ",""))&amp;INDEX('Recorrido'!$B$13:$B$47,$H43))</f>
        <v/>
      </c>
      <c r="D43" s="59">
        <f>IF($H43="","",IF(INDEX('Recorrido'!$D$13:$D$47,$H43)="Reparar","Repair: ",IF(INDEX('Recorrido'!$D$13:$D$47,$H43)="Cambiar","Replace: ",""))&amp;INDEX('Recorrido'!$C$13:$C$47,$H43)&amp;"")</f>
        <v/>
      </c>
      <c r="E43" s="60">
        <f>IF($H43="","",INDEX('Recorrido'!$E$13:$E$47,$H43))</f>
        <v/>
      </c>
      <c r="F43" s="59">
        <f>IF($H43="","",INDEX('Recorrido'!$F$13:$F$47,$H43)&amp;"")</f>
        <v/>
      </c>
      <c r="H43" s="44">
        <f>IFERROR(MATCH(31,'Recorrido'!$K$13:$K$47,0),"")</f>
        <v/>
      </c>
    </row>
    <row r="44" ht="26" customHeight="1">
      <c r="A44" s="58">
        <f>IF($H44="","",32)</f>
        <v/>
      </c>
      <c r="B44" s="59">
        <f>IF($H44="","",INDEX('Recorrido'!$A$13:$A$47,$H44)&amp;IFERROR(" · "&amp;INDEX('Recorrido'!$O$13:$O$20,MATCH(INDEX('Recorrido'!$A$13:$A$47,$H44),'Recorrido'!$N$13:$N$20,0)),""))</f>
        <v/>
      </c>
      <c r="C44" s="59">
        <f>IF($H44="","",IF(INDEX('Recorrido'!$D$13:$D$47,$H44)="Reparar","Reparar: ",IF(INDEX('Recorrido'!$D$13:$D$47,$H44)="Cambiar","Cambiar: ",""))&amp;INDEX('Recorrido'!$B$13:$B$47,$H44))</f>
        <v/>
      </c>
      <c r="D44" s="59">
        <f>IF($H44="","",IF(INDEX('Recorrido'!$D$13:$D$47,$H44)="Reparar","Repair: ",IF(INDEX('Recorrido'!$D$13:$D$47,$H44)="Cambiar","Replace: ",""))&amp;INDEX('Recorrido'!$C$13:$C$47,$H44)&amp;"")</f>
        <v/>
      </c>
      <c r="E44" s="60">
        <f>IF($H44="","",INDEX('Recorrido'!$E$13:$E$47,$H44))</f>
        <v/>
      </c>
      <c r="F44" s="59">
        <f>IF($H44="","",INDEX('Recorrido'!$F$13:$F$47,$H44)&amp;"")</f>
        <v/>
      </c>
      <c r="H44" s="44">
        <f>IFERROR(MATCH(32,'Recorrido'!$K$13:$K$47,0),"")</f>
        <v/>
      </c>
    </row>
    <row r="45" ht="18" customHeight="1"/>
    <row r="46" ht="18" customHeight="1">
      <c r="H46" s="22" t="inlineStr">
        <is>
          <t>Columna de cálculo. No sale en la impresión.</t>
        </is>
      </c>
    </row>
  </sheetData>
  <sheetProtection selectLockedCells="0" selectUnlockedCells="0" sheet="1" objects="0" insertRows="1" insertHyperlinks="1" autoFilter="1" scenarios="0" formatColumns="0" deleteColumns="1" insertColumns="1" pivotTables="1" deleteRows="1" formatCells="1" formatRows="0" sort="1"/>
  <mergeCells count="13">
    <mergeCell ref="A2:F2"/>
    <mergeCell ref="D8:F8"/>
    <mergeCell ref="A5:C5"/>
    <mergeCell ref="A1:F1"/>
    <mergeCell ref="D4:F4"/>
    <mergeCell ref="A6:C6"/>
    <mergeCell ref="B10:C10"/>
    <mergeCell ref="E5:F5"/>
    <mergeCell ref="D9:F9"/>
    <mergeCell ref="B9:C9"/>
    <mergeCell ref="A4:C4"/>
    <mergeCell ref="B8:C8"/>
    <mergeCell ref="D10:F10"/>
  </mergeCells>
  <printOptions horizontalCentered="1"/>
  <pageMargins left="0.4" right="0.4" top="0.5" bottom="0.5" header="0.5" footer="0.5"/>
  <pageSetup orientation="portrait" paperSize="1" fitToHeight="0" fitToWidth="1"/>
  <headerFooter>
    <oddHeader/>
    <oddFooter>&amp;C&amp;"Arial"&amp;8 &amp;P / &amp;N</oddFooter>
    <evenHeader/>
    <evenFooter/>
    <firstHeader/>
    <firstFooter/>
  </headerFooter>
  <rowBreaks count="1" manualBreakCount="1">
    <brk id="38" min="0" max="16383" man="1"/>
  </rowBreak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2026-10-27T16:16:18Z</dcterms:created>
  <dcterms:modified xmlns:dcterms="http://purl.org/dc/terms/" xmlns:xsi="http://www.w3.org/2001/XMLSchema-instance" xsi:type="dcterms:W3CDTF">2026-10-27T16:16:18Z</dcterms:modified>
</cp:coreProperties>
</file>